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\\FXQZ-FS-890P\FOUO - Flight$\7. FSW\FSWA\5 - CURRENT WT&amp;BAL + ICAO FLT PLANS\"/>
    </mc:Choice>
  </mc:AlternateContent>
  <xr:revisionPtr revIDLastSave="0" documentId="13_ncr:1_{406BEE28-EB1D-48BF-9FE3-2C1BFF84A65D}" xr6:coauthVersionLast="47" xr6:coauthVersionMax="47" xr10:uidLastSave="{00000000-0000-0000-0000-000000000000}"/>
  <bookViews>
    <workbookView xWindow="-108" yWindow="60" windowWidth="23256" windowHeight="12408" tabRatio="833" activeTab="3" xr2:uid="{00000000-000D-0000-FFFF-FFFF00000000}"/>
  </bookViews>
  <sheets>
    <sheet name="35408" sheetId="53" r:id="rId1"/>
    <sheet name="453SP" sheetId="42" r:id="rId2"/>
    <sheet name="722SA" sheetId="49" r:id="rId3"/>
    <sheet name="98637" sheetId="55" r:id="rId4"/>
    <sheet name="9390B" sheetId="19" r:id="rId5"/>
    <sheet name="9209H" sheetId="51" r:id="rId6"/>
    <sheet name="39522" sheetId="50" r:id="rId7"/>
    <sheet name="Specs" sheetId="13" r:id="rId8"/>
  </sheets>
  <externalReferences>
    <externalReference r:id="rId9"/>
  </externalReferences>
  <definedNames>
    <definedName name="_xlnm.Print_Area" localSheetId="7">Specs!$A$1:$L$19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55" l="1"/>
  <c r="E12" i="55" s="1"/>
  <c r="C11" i="55"/>
  <c r="C13" i="55" s="1"/>
  <c r="C10" i="55"/>
  <c r="E10" i="55" s="1"/>
  <c r="C9" i="55"/>
  <c r="E8" i="55"/>
  <c r="E7" i="55"/>
  <c r="E6" i="55"/>
  <c r="E5" i="55"/>
  <c r="E4" i="55"/>
  <c r="C3" i="55"/>
  <c r="E3" i="55" s="1"/>
  <c r="E9" i="55" s="1"/>
  <c r="D2" i="55"/>
  <c r="D9" i="55" l="1"/>
  <c r="E11" i="55"/>
  <c r="E13" i="55" l="1"/>
  <c r="D13" i="55" s="1"/>
  <c r="D11" i="55"/>
  <c r="F4" i="53" l="1"/>
  <c r="F5" i="53"/>
  <c r="C8" i="19"/>
  <c r="D4" i="51"/>
  <c r="F4" i="51" s="1"/>
  <c r="D15" i="53"/>
  <c r="D17" i="53" s="1"/>
  <c r="E12" i="53"/>
  <c r="D12" i="53"/>
  <c r="F12" i="53" s="1"/>
  <c r="F9" i="53"/>
  <c r="F7" i="53"/>
  <c r="F6" i="53"/>
  <c r="D4" i="53"/>
  <c r="D10" i="53" s="1"/>
  <c r="D15" i="42"/>
  <c r="D17" i="42" s="1"/>
  <c r="D16" i="51"/>
  <c r="D18" i="51" s="1"/>
  <c r="D22" i="50"/>
  <c r="D23" i="50" s="1"/>
  <c r="F22" i="50"/>
  <c r="F10" i="50"/>
  <c r="F8" i="50"/>
  <c r="F5" i="50"/>
  <c r="F6" i="50"/>
  <c r="F4" i="50"/>
  <c r="D13" i="50"/>
  <c r="D15" i="50" s="1"/>
  <c r="F5" i="51"/>
  <c r="F6" i="51"/>
  <c r="F7" i="51"/>
  <c r="F9" i="51"/>
  <c r="F10" i="51"/>
  <c r="D13" i="51"/>
  <c r="E13" i="51"/>
  <c r="D12" i="50"/>
  <c r="D17" i="50"/>
  <c r="F17" i="50" s="1"/>
  <c r="D4" i="49"/>
  <c r="F4" i="49" s="1"/>
  <c r="F5" i="49"/>
  <c r="F6" i="49"/>
  <c r="F7" i="49"/>
  <c r="F9" i="49"/>
  <c r="D12" i="49"/>
  <c r="E12" i="49"/>
  <c r="D15" i="49"/>
  <c r="F15" i="49" s="1"/>
  <c r="F4" i="19"/>
  <c r="F5" i="19"/>
  <c r="F6" i="19"/>
  <c r="F7" i="19"/>
  <c r="D8" i="19"/>
  <c r="F8" i="19" s="1"/>
  <c r="D12" i="19"/>
  <c r="E12" i="19"/>
  <c r="D15" i="19"/>
  <c r="D17" i="19" s="1"/>
  <c r="D4" i="42"/>
  <c r="F4" i="42" s="1"/>
  <c r="F5" i="42"/>
  <c r="F6" i="42"/>
  <c r="F7" i="42"/>
  <c r="F9" i="42"/>
  <c r="D12" i="42"/>
  <c r="E12" i="42"/>
  <c r="F12" i="42" l="1"/>
  <c r="F12" i="19"/>
  <c r="F13" i="51"/>
  <c r="F12" i="49"/>
  <c r="D13" i="53"/>
  <c r="F15" i="53"/>
  <c r="F17" i="53" s="1"/>
  <c r="E17" i="53" s="1"/>
  <c r="D19" i="50"/>
  <c r="F10" i="53"/>
  <c r="F10" i="19"/>
  <c r="F13" i="19" s="1"/>
  <c r="F15" i="19"/>
  <c r="F17" i="19" s="1"/>
  <c r="E17" i="19" s="1"/>
  <c r="F13" i="50"/>
  <c r="F12" i="50"/>
  <c r="F23" i="50"/>
  <c r="E23" i="50" s="1"/>
  <c r="D10" i="19"/>
  <c r="D13" i="19" s="1"/>
  <c r="F16" i="51"/>
  <c r="F18" i="51" s="1"/>
  <c r="E18" i="51" s="1"/>
  <c r="F10" i="42"/>
  <c r="F13" i="42" s="1"/>
  <c r="F15" i="42"/>
  <c r="F17" i="42" s="1"/>
  <c r="E17" i="42" s="1"/>
  <c r="D10" i="42"/>
  <c r="D13" i="42" s="1"/>
  <c r="D11" i="51"/>
  <c r="D14" i="51" s="1"/>
  <c r="F11" i="51"/>
  <c r="D10" i="49"/>
  <c r="D13" i="49" s="1"/>
  <c r="D17" i="49"/>
  <c r="F17" i="49"/>
  <c r="F10" i="49"/>
  <c r="F13" i="49" l="1"/>
  <c r="E13" i="49" s="1"/>
  <c r="E13" i="19"/>
  <c r="F13" i="53"/>
  <c r="E13" i="53" s="1"/>
  <c r="E10" i="53"/>
  <c r="F15" i="50"/>
  <c r="E10" i="19"/>
  <c r="E11" i="51"/>
  <c r="E13" i="42"/>
  <c r="E10" i="42"/>
  <c r="F14" i="51"/>
  <c r="E14" i="51" s="1"/>
  <c r="E17" i="49"/>
  <c r="E10" i="49"/>
  <c r="E15" i="50" l="1"/>
  <c r="F19" i="50"/>
  <c r="E19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USAF User</author>
  </authors>
  <commentList>
    <comment ref="D10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USAF User:</t>
        </r>
        <r>
          <rPr>
            <sz val="8"/>
            <color indexed="81"/>
            <rFont val="Tahoma"/>
            <family val="2"/>
          </rPr>
          <t xml:space="preserve">
A fixed weight (100 lbs) has been placed in this aircraft. It may have to be removed if flying with 4-6 people.</t>
        </r>
      </text>
    </comment>
  </commentList>
</comments>
</file>

<file path=xl/sharedStrings.xml><?xml version="1.0" encoding="utf-8"?>
<sst xmlns="http://schemas.openxmlformats.org/spreadsheetml/2006/main" count="181" uniqueCount="79">
  <si>
    <t>Weight (lbs)</t>
  </si>
  <si>
    <t>Arm     (in)</t>
  </si>
  <si>
    <t>Basic Weight (Includes</t>
  </si>
  <si>
    <t>unusable fuel &amp; full oil)</t>
  </si>
  <si>
    <t>Pilot &amp; Front Passenger</t>
  </si>
  <si>
    <t>Ramp Totals</t>
  </si>
  <si>
    <t>STTO Fuel</t>
  </si>
  <si>
    <t>Takeoff Totals</t>
  </si>
  <si>
    <t>Landing Fuel</t>
  </si>
  <si>
    <t>Landing Totals</t>
  </si>
  <si>
    <t>Rear Passengers</t>
  </si>
  <si>
    <t>Envelope</t>
  </si>
  <si>
    <t>Moment      (in-lbs)/1000</t>
  </si>
  <si>
    <t>unusable fuel and oil)</t>
  </si>
  <si>
    <t>Baggage Area 1</t>
  </si>
  <si>
    <t>Max 120 lbs</t>
  </si>
  <si>
    <t>The maximum allowable combined weight capacity for baggage</t>
  </si>
  <si>
    <t>areas 1 and 2 is 120 lbs.</t>
  </si>
  <si>
    <t>Maximum Weight 2550</t>
  </si>
  <si>
    <t>Fuel (Max 53)</t>
  </si>
  <si>
    <t>453SP</t>
  </si>
  <si>
    <t>Maximum Weight 2650</t>
  </si>
  <si>
    <t>9390B</t>
  </si>
  <si>
    <t>(Max 120 lbs)</t>
  </si>
  <si>
    <r>
      <t>Baggage Area 2           (Max 50 lbs)</t>
    </r>
    <r>
      <rPr>
        <sz val="10"/>
        <rFont val="Arial"/>
        <family val="2"/>
      </rPr>
      <t xml:space="preserve">   </t>
    </r>
  </si>
  <si>
    <r>
      <t xml:space="preserve">Baggage Area 1  (Max 120 lbs.) </t>
    </r>
    <r>
      <rPr>
        <b/>
        <vertAlign val="superscript"/>
        <sz val="10"/>
        <rFont val="Arial"/>
        <family val="2"/>
      </rPr>
      <t>1</t>
    </r>
  </si>
  <si>
    <r>
      <t xml:space="preserve">Baggage Area  2 (Max   50 lbs.) </t>
    </r>
    <r>
      <rPr>
        <b/>
        <vertAlign val="superscript"/>
        <sz val="10"/>
        <rFont val="Arial"/>
        <family val="2"/>
      </rPr>
      <t>1</t>
    </r>
  </si>
  <si>
    <r>
      <t xml:space="preserve">Fuel 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(Max 85.0 gal)</t>
    </r>
  </si>
  <si>
    <r>
      <t xml:space="preserve">Note 1:  </t>
    </r>
    <r>
      <rPr>
        <sz val="10"/>
        <rFont val="Arial"/>
        <family val="2"/>
      </rPr>
      <t xml:space="preserve"> 200 lbs max baggage in both areas combined</t>
    </r>
  </si>
  <si>
    <r>
      <t>Note 2:</t>
    </r>
    <r>
      <rPr>
        <sz val="10"/>
        <rFont val="Arial"/>
        <family val="2"/>
      </rPr>
      <t xml:space="preserve">   62 Gals in the main tanks, 23 Gals in the tip tanks</t>
    </r>
  </si>
  <si>
    <t>Seat 1&amp;2</t>
  </si>
  <si>
    <t>Seats 3&amp;4</t>
  </si>
  <si>
    <t>Main      Landing Fuel</t>
  </si>
  <si>
    <t>PA-34-200T</t>
  </si>
  <si>
    <t>Seats 5&amp;6</t>
  </si>
  <si>
    <t>Baggage Area              (Nose 100 lbs)</t>
  </si>
  <si>
    <t>Maximum Weight 4570</t>
  </si>
  <si>
    <t>Fuel  (123 Gal Usable)</t>
  </si>
  <si>
    <t>Maximum Weight 4342</t>
  </si>
  <si>
    <t>Maximum Weight 4582</t>
  </si>
  <si>
    <t>9209H</t>
  </si>
  <si>
    <t>Fuel (Max 88)</t>
  </si>
  <si>
    <t>Maximum Weight 3100</t>
  </si>
  <si>
    <t>C-182</t>
  </si>
  <si>
    <t>areas A, B and C is 200 lbs.</t>
  </si>
  <si>
    <t>Baggage Area A</t>
  </si>
  <si>
    <t>areas B and C is 80 lbs.</t>
  </si>
  <si>
    <t>NOTE:</t>
  </si>
  <si>
    <r>
      <t xml:space="preserve">Baggage Area B                                 </t>
    </r>
    <r>
      <rPr>
        <b/>
        <sz val="10"/>
        <rFont val="Arial"/>
        <family val="2"/>
      </rPr>
      <t>(Max 80 lbs)</t>
    </r>
    <r>
      <rPr>
        <sz val="10"/>
        <rFont val="Arial"/>
        <family val="2"/>
      </rPr>
      <t xml:space="preserve">   </t>
    </r>
  </si>
  <si>
    <r>
      <t xml:space="preserve">Baggage Area C                                 </t>
    </r>
    <r>
      <rPr>
        <b/>
        <sz val="10"/>
        <rFont val="Arial"/>
        <family val="2"/>
      </rPr>
      <t>(Max 80 lbs)</t>
    </r>
    <r>
      <rPr>
        <sz val="10"/>
        <rFont val="Arial"/>
        <family val="2"/>
      </rPr>
      <t xml:space="preserve">   </t>
    </r>
  </si>
  <si>
    <r>
      <t xml:space="preserve">              </t>
    </r>
    <r>
      <rPr>
        <b/>
        <sz val="10"/>
        <rFont val="Arial"/>
        <family val="2"/>
      </rPr>
      <t>(Max 120 lbs)</t>
    </r>
  </si>
  <si>
    <t>responsible for assuring correct data and proper loading of your aircraft prior to flight.</t>
  </si>
  <si>
    <t xml:space="preserve">This calculator is presented for educational purposes only. You, as pilot in command, are solely </t>
  </si>
  <si>
    <t>Maximum Weight 3110</t>
  </si>
  <si>
    <r>
      <t xml:space="preserve">Maximum Landing </t>
    </r>
    <r>
      <rPr>
        <b/>
        <sz val="10"/>
        <color indexed="10"/>
        <rFont val="Arial"/>
        <family val="2"/>
      </rPr>
      <t>2950</t>
    </r>
  </si>
  <si>
    <t xml:space="preserve"> </t>
  </si>
  <si>
    <t xml:space="preserve">Baggage Area 2                  Max 50 lbs   </t>
  </si>
  <si>
    <t>C-172  (3SP)</t>
  </si>
  <si>
    <r>
      <t>Zero Fuel Wt. (</t>
    </r>
    <r>
      <rPr>
        <b/>
        <sz val="10"/>
        <rFont val="Arial"/>
        <family val="2"/>
      </rPr>
      <t>4000 Lbs</t>
    </r>
    <r>
      <rPr>
        <sz val="10"/>
        <rFont val="Arial"/>
        <family val="2"/>
      </rPr>
      <t>.)</t>
    </r>
  </si>
  <si>
    <t xml:space="preserve">Baggage Area                 </t>
  </si>
  <si>
    <t>722SA</t>
  </si>
  <si>
    <t>172RG</t>
  </si>
  <si>
    <t>C-172R</t>
  </si>
  <si>
    <t>N98637 Seaplane (Aerocet 2200)</t>
  </si>
  <si>
    <t>Arm            (inches)</t>
  </si>
  <si>
    <t>Moment      (in-lbs)</t>
  </si>
  <si>
    <t>Basic Weight (Includes unuseable fuel and oil)</t>
  </si>
  <si>
    <t>W&amp;B Date: 7/17/2019</t>
  </si>
  <si>
    <t>Fuel (Max 40)</t>
  </si>
  <si>
    <t>Baggage Area 1*</t>
  </si>
  <si>
    <t xml:space="preserve">Baggage Area 2*                               (Max 50 lbs)   </t>
  </si>
  <si>
    <t>Float Compartments                    Maximum 100 lbs per float</t>
  </si>
  <si>
    <r>
      <t xml:space="preserve">Takeoff Total                             </t>
    </r>
    <r>
      <rPr>
        <b/>
        <sz val="10"/>
        <rFont val="Arial"/>
        <family val="2"/>
      </rPr>
      <t>Maximum Weight 2487</t>
    </r>
  </si>
  <si>
    <r>
      <rPr>
        <sz val="10"/>
        <rFont val="Arial"/>
        <family val="2"/>
      </rPr>
      <t>Landing Total</t>
    </r>
    <r>
      <rPr>
        <b/>
        <sz val="10"/>
        <rFont val="Arial"/>
        <family val="2"/>
      </rPr>
      <t xml:space="preserve">                             Maximum Weight 2487</t>
    </r>
  </si>
  <si>
    <t>Data Entered By:</t>
  </si>
  <si>
    <t>Date:</t>
  </si>
  <si>
    <t>W&amp;B version 1.0 (Jun 2022)</t>
  </si>
  <si>
    <t>C-172  (98637)</t>
  </si>
  <si>
    <t>C.G.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</si>
</sst>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164" formatCode="#,##0\ \ "/>
    <numFmt numFmtId="165" formatCode="0.00\ "/>
    <numFmt numFmtId="166" formatCode="[Red][&gt;2650]#,##0\ \ ;[Black]#,##0\ \ "/>
    <numFmt numFmtId="167" formatCode="0.0"/>
    <numFmt numFmtId="168" formatCode="[Black][&gt;=5]##.0\ \g\a\l\ \ ;[Red]&quot;ERROR&quot;"/>
    <numFmt numFmtId="169" formatCode="[Black][&lt;=120]##\ \ ;[Red]&quot;ERROR&quot;"/>
    <numFmt numFmtId="170" formatCode="[Red][&gt;2550]#,##0\ \ ;[Black]#,##0\ \ "/>
    <numFmt numFmtId="171" formatCode="#,##0.00\ \ "/>
    <numFmt numFmtId="172" formatCode="[Red][&gt;2500]#,##0\ \ ;[Black]#,##0\ \ "/>
    <numFmt numFmtId="173" formatCode="[Black][&lt;=46]##.0\ \g\a\l\ \ ;[Red]&quot;ERROR&quot;"/>
    <numFmt numFmtId="174" formatCode="[Red][&gt;2750]#,##0\ \ ;[Black]#,##0\ \ "/>
    <numFmt numFmtId="175" formatCode="[Red][&gt;5400]#,##0\ \ ;[Black]#,##0\ \ "/>
    <numFmt numFmtId="176" formatCode="[Black][&lt;=240]##\ \ ;[Red]&quot;ERROR&quot;"/>
    <numFmt numFmtId="177" formatCode="[Black][&lt;=200]##\ \ ;[Red]&quot;ERROR&quot;"/>
    <numFmt numFmtId="178" formatCode="[Black][&lt;=100]##.0\ \g\a\l\ \ ;[Red]&quot;ERROR&quot;"/>
    <numFmt numFmtId="179" formatCode="[Red][&gt;5500]#,##0\ \ ;[Black]#,##0\ \ "/>
    <numFmt numFmtId="180" formatCode="[Black][&lt;=325]##\ \ ;[Red]&quot;ERROR&quot;"/>
    <numFmt numFmtId="181" formatCode="[Black][&lt;=50]##\ \ ;[Red]&quot;ERROR&quot;"/>
    <numFmt numFmtId="182" formatCode="0.000"/>
    <numFmt numFmtId="183" formatCode="#,##0.000\ \ "/>
    <numFmt numFmtId="184" formatCode="[Black][&lt;=53]##.0\ \g\a\l\ \ ;[Red]&quot;ERROR&quot;"/>
    <numFmt numFmtId="185" formatCode="[Black][&lt;=85]##.0\ \g\a\l\ \ ;[Red]&quot;ERROR&quot;"/>
    <numFmt numFmtId="186" formatCode="[Red][&gt;2450]#,##0\ \ ;[Black]#,##0\ \ "/>
    <numFmt numFmtId="187" formatCode="[Red][&gt;2451]#,##0\ \ ;[Black]#,##0\ \ "/>
    <numFmt numFmtId="188" formatCode="[Red][&gt;4000]#,##0\ \ ;[Black]#,##0\ \ "/>
    <numFmt numFmtId="189" formatCode="[Red][&gt;4582]#,##0\ \ ;[Black]#,##0\ \ "/>
    <numFmt numFmtId="190" formatCode="[Black][&lt;=88]##.0\ \g\a\l\ \ ;[Red]&quot;ERROR&quot;"/>
    <numFmt numFmtId="191" formatCode="[Black][&lt;=80]##\ \ ;[Red]&quot;ERROR&quot;"/>
    <numFmt numFmtId="192" formatCode="[Red][&gt;3101]#,##0\ \ ;[Black]#,##0\ \ "/>
    <numFmt numFmtId="193" formatCode="[Red][&gt;3111]#,##0\ \ ;[Black]#,##0\ \ "/>
    <numFmt numFmtId="194" formatCode="[Red][&gt;2951]#,##0\ \ ;[Black]#,##0\ \ "/>
    <numFmt numFmtId="195" formatCode="[Black][&lt;=123]##\ \g\a\l\ \ ;[Red]&quot;ERROR&quot;"/>
    <numFmt numFmtId="196" formatCode="[Black][&gt;=5]##\ \g\a\l\ \ ;[Red]&quot;ERROR&quot;"/>
    <numFmt numFmtId="197" formatCode="[Red][&gt;4570]#,##0\ \ ;[Black]#,##0\ \ "/>
    <numFmt numFmtId="198" formatCode="[Black][&lt;=40]##.0\ \g\a\l\ \ ;[Red]&quot;ERROR&quot;"/>
    <numFmt numFmtId="199" formatCode="[Red][&gt;2557]#,##0\ \ ;[Black]#,##0\ \ "/>
    <numFmt numFmtId="200" formatCode="[Red][&gt;2551]#,##0\ \ ;[Black]#,##0\ \ 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2" fontId="0" fillId="0" borderId="0" xfId="0" applyNumberFormat="1" applyProtection="1"/>
    <xf numFmtId="3" fontId="0" fillId="0" borderId="0" xfId="0" applyNumberFormat="1" applyProtection="1"/>
    <xf numFmtId="0" fontId="0" fillId="0" borderId="0" xfId="0" applyProtection="1"/>
    <xf numFmtId="164" fontId="4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0" xfId="0" applyProtection="1">
      <protection locked="0"/>
    </xf>
    <xf numFmtId="173" fontId="4" fillId="2" borderId="5" xfId="0" applyNumberFormat="1" applyFont="1" applyFill="1" applyBorder="1" applyAlignment="1" applyProtection="1">
      <alignment horizontal="right" wrapText="1"/>
      <protection locked="0"/>
    </xf>
    <xf numFmtId="172" fontId="0" fillId="0" borderId="0" xfId="0" applyNumberFormat="1" applyProtection="1"/>
    <xf numFmtId="169" fontId="4" fillId="2" borderId="5" xfId="0" applyNumberFormat="1" applyFont="1" applyFill="1" applyBorder="1" applyAlignment="1" applyProtection="1">
      <alignment horizontal="right"/>
      <protection locked="0"/>
    </xf>
    <xf numFmtId="49" fontId="0" fillId="0" borderId="6" xfId="0" applyNumberFormat="1" applyBorder="1" applyAlignment="1" applyProtection="1">
      <alignment horizontal="left" wrapText="1"/>
    </xf>
    <xf numFmtId="164" fontId="0" fillId="3" borderId="5" xfId="0" applyNumberFormat="1" applyFill="1" applyBorder="1" applyAlignment="1" applyProtection="1">
      <alignment horizontal="right"/>
    </xf>
    <xf numFmtId="164" fontId="0" fillId="3" borderId="1" xfId="0" applyNumberFormat="1" applyFill="1" applyBorder="1" applyAlignment="1" applyProtection="1">
      <alignment horizontal="right"/>
    </xf>
    <xf numFmtId="49" fontId="0" fillId="0" borderId="7" xfId="0" applyNumberFormat="1" applyBorder="1" applyAlignment="1" applyProtection="1">
      <alignment horizontal="left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2" fontId="0" fillId="3" borderId="1" xfId="0" applyNumberFormat="1" applyFill="1" applyBorder="1" applyAlignment="1">
      <alignment horizontal="right"/>
    </xf>
    <xf numFmtId="2" fontId="0" fillId="3" borderId="10" xfId="0" applyNumberFormat="1" applyFill="1" applyBorder="1" applyAlignment="1">
      <alignment horizontal="right"/>
    </xf>
    <xf numFmtId="165" fontId="0" fillId="3" borderId="1" xfId="0" applyNumberFormat="1" applyFill="1" applyBorder="1" applyAlignment="1" applyProtection="1">
      <alignment horizontal="right"/>
    </xf>
    <xf numFmtId="171" fontId="0" fillId="3" borderId="5" xfId="0" applyNumberFormat="1" applyFill="1" applyBorder="1" applyAlignment="1" applyProtection="1">
      <alignment horizontal="right"/>
    </xf>
    <xf numFmtId="171" fontId="0" fillId="3" borderId="1" xfId="0" applyNumberFormat="1" applyFill="1" applyBorder="1" applyAlignment="1" applyProtection="1">
      <alignment horizontal="right"/>
    </xf>
    <xf numFmtId="0" fontId="0" fillId="0" borderId="7" xfId="0" applyBorder="1" applyAlignment="1" applyProtection="1">
      <alignment horizontal="left" vertical="center" wrapText="1"/>
    </xf>
    <xf numFmtId="49" fontId="0" fillId="0" borderId="0" xfId="0" applyNumberFormat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 wrapText="1"/>
    </xf>
    <xf numFmtId="49" fontId="1" fillId="0" borderId="9" xfId="0" applyNumberFormat="1" applyFont="1" applyBorder="1" applyAlignment="1" applyProtection="1">
      <alignment horizontal="left"/>
    </xf>
    <xf numFmtId="0" fontId="0" fillId="0" borderId="11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/>
    </xf>
    <xf numFmtId="49" fontId="0" fillId="0" borderId="12" xfId="0" applyNumberFormat="1" applyBorder="1" applyAlignment="1" applyProtection="1">
      <alignment horizontal="left"/>
    </xf>
    <xf numFmtId="164" fontId="4" fillId="2" borderId="10" xfId="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left"/>
    </xf>
    <xf numFmtId="181" fontId="4" fillId="2" borderId="5" xfId="0" applyNumberFormat="1" applyFon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/>
    <xf numFmtId="0" fontId="0" fillId="4" borderId="1" xfId="0" applyFill="1" applyBorder="1"/>
    <xf numFmtId="182" fontId="0" fillId="3" borderId="5" xfId="0" applyNumberFormat="1" applyFill="1" applyBorder="1" applyAlignment="1">
      <alignment horizontal="right"/>
    </xf>
    <xf numFmtId="49" fontId="0" fillId="0" borderId="8" xfId="0" applyNumberFormat="1" applyBorder="1" applyAlignment="1" applyProtection="1">
      <alignment horizontal="left" wrapText="1"/>
    </xf>
    <xf numFmtId="49" fontId="0" fillId="0" borderId="3" xfId="0" applyNumberForma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left" wrapText="1"/>
    </xf>
    <xf numFmtId="182" fontId="0" fillId="3" borderId="0" xfId="0" applyNumberFormat="1" applyFill="1" applyAlignment="1">
      <alignment horizontal="right"/>
    </xf>
    <xf numFmtId="164" fontId="4" fillId="2" borderId="5" xfId="0" applyNumberFormat="1" applyFont="1" applyFill="1" applyBorder="1" applyAlignment="1" applyProtection="1">
      <alignment horizontal="right"/>
      <protection locked="0"/>
    </xf>
    <xf numFmtId="184" fontId="4" fillId="2" borderId="5" xfId="0" applyNumberFormat="1" applyFont="1" applyFill="1" applyBorder="1" applyAlignment="1" applyProtection="1">
      <alignment horizontal="right" wrapText="1"/>
      <protection locked="0"/>
    </xf>
    <xf numFmtId="183" fontId="0" fillId="3" borderId="1" xfId="0" applyNumberFormat="1" applyFill="1" applyBorder="1" applyAlignment="1" applyProtection="1">
      <alignment horizontal="right"/>
    </xf>
    <xf numFmtId="2" fontId="7" fillId="0" borderId="0" xfId="0" applyNumberFormat="1" applyFont="1" applyProtection="1"/>
    <xf numFmtId="0" fontId="7" fillId="0" borderId="0" xfId="0" applyFont="1" applyProtection="1"/>
    <xf numFmtId="2" fontId="0" fillId="3" borderId="10" xfId="0" applyNumberFormat="1" applyFill="1" applyBorder="1" applyAlignment="1" applyProtection="1">
      <alignment horizontal="right"/>
    </xf>
    <xf numFmtId="2" fontId="0" fillId="3" borderId="1" xfId="0" applyNumberFormat="1" applyFill="1" applyBorder="1" applyAlignment="1" applyProtection="1">
      <alignment horizontal="right"/>
    </xf>
    <xf numFmtId="49" fontId="0" fillId="0" borderId="7" xfId="0" applyNumberFormat="1" applyFill="1" applyBorder="1" applyAlignment="1" applyProtection="1">
      <alignment horizontal="left" wrapText="1"/>
    </xf>
    <xf numFmtId="0" fontId="0" fillId="0" borderId="2" xfId="0" applyBorder="1" applyAlignment="1">
      <alignment horizontal="center"/>
    </xf>
    <xf numFmtId="179" fontId="0" fillId="3" borderId="13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2" fontId="0" fillId="3" borderId="13" xfId="0" applyNumberFormat="1" applyFill="1" applyBorder="1" applyAlignment="1" applyProtection="1">
      <alignment horizontal="right"/>
    </xf>
    <xf numFmtId="172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190" fontId="4" fillId="2" borderId="5" xfId="0" applyNumberFormat="1" applyFont="1" applyFill="1" applyBorder="1" applyAlignment="1" applyProtection="1">
      <alignment horizontal="right" wrapText="1"/>
      <protection locked="0"/>
    </xf>
    <xf numFmtId="182" fontId="0" fillId="3" borderId="13" xfId="0" applyNumberFormat="1" applyFill="1" applyBorder="1" applyAlignment="1">
      <alignment horizontal="right"/>
    </xf>
    <xf numFmtId="0" fontId="0" fillId="0" borderId="7" xfId="0" applyBorder="1"/>
    <xf numFmtId="0" fontId="0" fillId="0" borderId="0" xfId="0" applyAlignment="1">
      <alignment horizontal="center"/>
    </xf>
    <xf numFmtId="191" fontId="4" fillId="2" borderId="5" xfId="0" applyNumberFormat="1" applyFont="1" applyFill="1" applyBorder="1" applyAlignment="1" applyProtection="1">
      <alignment horizontal="right"/>
      <protection locked="0"/>
    </xf>
    <xf numFmtId="191" fontId="4" fillId="2" borderId="13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0" fontId="9" fillId="0" borderId="0" xfId="0" applyFont="1"/>
    <xf numFmtId="0" fontId="9" fillId="0" borderId="0" xfId="0" applyFont="1" applyProtection="1"/>
    <xf numFmtId="3" fontId="9" fillId="0" borderId="0" xfId="0" applyNumberFormat="1" applyFont="1" applyProtection="1"/>
    <xf numFmtId="2" fontId="9" fillId="0" borderId="0" xfId="0" applyNumberFormat="1" applyFont="1" applyProtection="1"/>
    <xf numFmtId="0" fontId="4" fillId="0" borderId="0" xfId="0" applyFont="1" applyProtection="1"/>
    <xf numFmtId="2" fontId="4" fillId="0" borderId="0" xfId="0" applyNumberFormat="1" applyFont="1" applyProtection="1"/>
    <xf numFmtId="164" fontId="4" fillId="5" borderId="1" xfId="0" applyNumberFormat="1" applyFont="1" applyFill="1" applyBorder="1" applyAlignment="1" applyProtection="1">
      <alignment horizontal="right"/>
      <protection locked="0"/>
    </xf>
    <xf numFmtId="178" fontId="4" fillId="0" borderId="6" xfId="0" applyNumberFormat="1" applyFont="1" applyFill="1" applyBorder="1" applyAlignment="1" applyProtection="1">
      <alignment horizontal="right"/>
      <protection locked="0"/>
    </xf>
    <xf numFmtId="188" fontId="4" fillId="3" borderId="10" xfId="0" applyNumberFormat="1" applyFont="1" applyFill="1" applyBorder="1" applyAlignment="1" applyProtection="1">
      <alignment horizontal="right"/>
    </xf>
    <xf numFmtId="0" fontId="0" fillId="0" borderId="2" xfId="0" applyFill="1" applyBorder="1"/>
    <xf numFmtId="0" fontId="0" fillId="0" borderId="0" xfId="0" applyFill="1" applyBorder="1"/>
    <xf numFmtId="0" fontId="3" fillId="0" borderId="0" xfId="0" applyFont="1"/>
    <xf numFmtId="0" fontId="3" fillId="0" borderId="12" xfId="0" applyFont="1" applyBorder="1" applyAlignment="1" applyProtection="1">
      <alignment horizontal="left"/>
    </xf>
    <xf numFmtId="2" fontId="0" fillId="6" borderId="0" xfId="0" applyNumberFormat="1" applyFill="1"/>
    <xf numFmtId="0" fontId="0" fillId="6" borderId="0" xfId="0" applyFill="1"/>
    <xf numFmtId="0" fontId="0" fillId="7" borderId="1" xfId="0" applyFill="1" applyBorder="1" applyAlignment="1" applyProtection="1">
      <alignment horizontal="centerContinuous"/>
    </xf>
    <xf numFmtId="0" fontId="0" fillId="7" borderId="1" xfId="0" applyFill="1" applyBorder="1" applyAlignment="1">
      <alignment horizontal="centerContinuous"/>
    </xf>
    <xf numFmtId="2" fontId="0" fillId="7" borderId="1" xfId="0" applyNumberFormat="1" applyFill="1" applyBorder="1" applyProtection="1"/>
    <xf numFmtId="3" fontId="0" fillId="7" borderId="1" xfId="0" applyNumberFormat="1" applyFill="1" applyBorder="1" applyProtection="1"/>
    <xf numFmtId="0" fontId="0" fillId="7" borderId="0" xfId="0" applyFill="1"/>
    <xf numFmtId="0" fontId="0" fillId="8" borderId="0" xfId="0" applyFill="1" applyAlignment="1">
      <alignment horizontal="center"/>
    </xf>
    <xf numFmtId="0" fontId="0" fillId="9" borderId="0" xfId="0" applyFill="1"/>
    <xf numFmtId="2" fontId="0" fillId="3" borderId="10" xfId="0" applyNumberFormat="1" applyFill="1" applyBorder="1" applyAlignment="1">
      <alignment horizontal="right"/>
    </xf>
    <xf numFmtId="2" fontId="0" fillId="3" borderId="5" xfId="0" applyNumberFormat="1" applyFill="1" applyBorder="1" applyAlignment="1">
      <alignment horizontal="right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2" fontId="0" fillId="3" borderId="10" xfId="0" applyNumberFormat="1" applyFill="1" applyBorder="1" applyAlignment="1" applyProtection="1">
      <alignment horizontal="right"/>
    </xf>
    <xf numFmtId="2" fontId="0" fillId="3" borderId="5" xfId="0" applyNumberFormat="1" applyFill="1" applyBorder="1" applyAlignment="1" applyProtection="1">
      <alignment horizontal="right"/>
    </xf>
    <xf numFmtId="2" fontId="0" fillId="3" borderId="10" xfId="0" applyNumberFormat="1" applyFill="1" applyBorder="1" applyAlignment="1" applyProtection="1">
      <alignment horizontal="right" wrapText="1"/>
    </xf>
    <xf numFmtId="2" fontId="0" fillId="3" borderId="5" xfId="0" applyNumberFormat="1" applyFill="1" applyBorder="1" applyAlignment="1" applyProtection="1">
      <alignment horizontal="right" wrapText="1"/>
    </xf>
    <xf numFmtId="183" fontId="0" fillId="3" borderId="10" xfId="0" applyNumberFormat="1" applyFill="1" applyBorder="1" applyAlignment="1" applyProtection="1">
      <alignment horizontal="right"/>
    </xf>
    <xf numFmtId="183" fontId="0" fillId="3" borderId="5" xfId="0" applyNumberFormat="1" applyFill="1" applyBorder="1" applyAlignment="1" applyProtection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9" fontId="4" fillId="2" borderId="10" xfId="0" applyNumberFormat="1" applyFont="1" applyFill="1" applyBorder="1" applyAlignment="1" applyProtection="1">
      <alignment horizontal="right"/>
      <protection locked="0"/>
    </xf>
    <xf numFmtId="169" fontId="0" fillId="0" borderId="5" xfId="0" applyNumberFormat="1" applyBorder="1" applyAlignment="1"/>
    <xf numFmtId="2" fontId="0" fillId="3" borderId="10" xfId="0" applyNumberFormat="1" applyFill="1" applyBorder="1" applyAlignment="1">
      <alignment horizontal="right"/>
    </xf>
    <xf numFmtId="0" fontId="0" fillId="0" borderId="5" xfId="0" applyBorder="1" applyAlignment="1"/>
    <xf numFmtId="171" fontId="0" fillId="3" borderId="10" xfId="0" applyNumberFormat="1" applyFill="1" applyBorder="1" applyAlignment="1" applyProtection="1">
      <alignment horizontal="right"/>
    </xf>
    <xf numFmtId="3" fontId="0" fillId="0" borderId="5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1" xfId="0" applyBorder="1" applyAlignment="1">
      <alignment horizontal="right"/>
    </xf>
    <xf numFmtId="170" fontId="0" fillId="3" borderId="10" xfId="0" applyNumberFormat="1" applyFill="1" applyBorder="1" applyAlignment="1" applyProtection="1">
      <alignment horizontal="right"/>
    </xf>
    <xf numFmtId="170" fontId="0" fillId="3" borderId="5" xfId="0" applyNumberFormat="1" applyFill="1" applyBorder="1" applyAlignment="1" applyProtection="1">
      <alignment horizontal="right"/>
    </xf>
    <xf numFmtId="165" fontId="0" fillId="3" borderId="10" xfId="0" applyNumberFormat="1" applyFill="1" applyBorder="1" applyAlignment="1" applyProtection="1">
      <alignment horizontal="right"/>
    </xf>
    <xf numFmtId="165" fontId="0" fillId="3" borderId="5" xfId="0" applyNumberFormat="1" applyFill="1" applyBorder="1" applyAlignment="1" applyProtection="1">
      <alignment horizontal="right"/>
    </xf>
    <xf numFmtId="49" fontId="0" fillId="0" borderId="8" xfId="0" applyNumberFormat="1" applyBorder="1" applyAlignment="1" applyProtection="1">
      <alignment horizontal="left" wrapText="1"/>
    </xf>
    <xf numFmtId="49" fontId="0" fillId="0" borderId="6" xfId="0" applyNumberFormat="1" applyBorder="1" applyAlignment="1" applyProtection="1">
      <alignment horizontal="left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71" fontId="0" fillId="3" borderId="5" xfId="0" applyNumberFormat="1" applyFill="1" applyBorder="1" applyAlignment="1" applyProtection="1">
      <alignment horizontal="right"/>
    </xf>
    <xf numFmtId="49" fontId="0" fillId="0" borderId="3" xfId="0" applyNumberFormat="1" applyBorder="1" applyAlignment="1" applyProtection="1">
      <alignment horizontal="left" wrapText="1"/>
    </xf>
    <xf numFmtId="49" fontId="0" fillId="0" borderId="4" xfId="0" applyNumberFormat="1" applyBorder="1" applyAlignment="1" applyProtection="1">
      <alignment horizontal="left" wrapText="1"/>
    </xf>
    <xf numFmtId="168" fontId="4" fillId="2" borderId="10" xfId="0" applyNumberFormat="1" applyFont="1" applyFill="1" applyBorder="1" applyAlignment="1" applyProtection="1">
      <alignment horizontal="right" wrapText="1"/>
      <protection locked="0"/>
    </xf>
    <xf numFmtId="168" fontId="4" fillId="2" borderId="5" xfId="0" applyNumberFormat="1" applyFont="1" applyFill="1" applyBorder="1" applyAlignment="1" applyProtection="1">
      <alignment horizontal="right" wrapText="1"/>
      <protection locked="0"/>
    </xf>
    <xf numFmtId="164" fontId="0" fillId="3" borderId="10" xfId="0" applyNumberFormat="1" applyFill="1" applyBorder="1" applyAlignment="1" applyProtection="1">
      <alignment horizontal="right"/>
    </xf>
    <xf numFmtId="164" fontId="0" fillId="3" borderId="5" xfId="0" applyNumberFormat="1" applyFill="1" applyBorder="1" applyAlignment="1" applyProtection="1">
      <alignment horizontal="right"/>
    </xf>
    <xf numFmtId="0" fontId="0" fillId="0" borderId="11" xfId="0" applyBorder="1" applyAlignment="1">
      <alignment horizontal="center"/>
    </xf>
    <xf numFmtId="187" fontId="0" fillId="3" borderId="10" xfId="0" applyNumberFormat="1" applyFill="1" applyBorder="1" applyAlignment="1" applyProtection="1">
      <alignment horizontal="right"/>
    </xf>
    <xf numFmtId="187" fontId="0" fillId="3" borderId="5" xfId="0" applyNumberFormat="1" applyFill="1" applyBorder="1" applyAlignment="1" applyProtection="1">
      <alignment horizontal="right"/>
    </xf>
    <xf numFmtId="186" fontId="0" fillId="3" borderId="10" xfId="0" applyNumberFormat="1" applyFill="1" applyBorder="1" applyAlignment="1" applyProtection="1">
      <alignment horizontal="right"/>
    </xf>
    <xf numFmtId="186" fontId="0" fillId="3" borderId="5" xfId="0" applyNumberFormat="1" applyFill="1" applyBorder="1" applyAlignment="1" applyProtection="1">
      <alignment horizontal="right"/>
    </xf>
    <xf numFmtId="167" fontId="0" fillId="3" borderId="10" xfId="0" applyNumberFormat="1" applyFill="1" applyBorder="1" applyAlignment="1" applyProtection="1">
      <alignment horizontal="right"/>
    </xf>
    <xf numFmtId="167" fontId="0" fillId="3" borderId="5" xfId="0" applyNumberFormat="1" applyFill="1" applyBorder="1" applyAlignment="1" applyProtection="1">
      <alignment horizontal="right"/>
    </xf>
    <xf numFmtId="166" fontId="0" fillId="3" borderId="10" xfId="0" applyNumberFormat="1" applyFill="1" applyBorder="1" applyAlignment="1" applyProtection="1">
      <alignment horizontal="right"/>
    </xf>
    <xf numFmtId="166" fontId="0" fillId="3" borderId="5" xfId="0" applyNumberFormat="1" applyFill="1" applyBorder="1" applyAlignment="1" applyProtection="1">
      <alignment horizontal="right"/>
    </xf>
    <xf numFmtId="2" fontId="0" fillId="3" borderId="5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174" fontId="0" fillId="3" borderId="10" xfId="0" applyNumberFormat="1" applyFill="1" applyBorder="1" applyAlignment="1" applyProtection="1">
      <alignment horizontal="right"/>
    </xf>
    <xf numFmtId="174" fontId="0" fillId="3" borderId="5" xfId="0" applyNumberFormat="1" applyFill="1" applyBorder="1" applyAlignment="1" applyProtection="1">
      <alignment horizontal="right"/>
    </xf>
    <xf numFmtId="49" fontId="0" fillId="0" borderId="7" xfId="0" applyNumberFormat="1" applyBorder="1" applyAlignment="1" applyProtection="1">
      <alignment horizontal="left" wrapText="1"/>
    </xf>
    <xf numFmtId="49" fontId="0" fillId="0" borderId="9" xfId="0" applyNumberFormat="1" applyBorder="1" applyAlignment="1" applyProtection="1">
      <alignment horizontal="left" wrapText="1"/>
    </xf>
    <xf numFmtId="168" fontId="4" fillId="2" borderId="12" xfId="0" applyNumberFormat="1" applyFont="1" applyFill="1" applyBorder="1" applyAlignment="1" applyProtection="1">
      <alignment horizontal="right" wrapText="1"/>
      <protection locked="0"/>
    </xf>
    <xf numFmtId="168" fontId="4" fillId="2" borderId="11" xfId="0" applyNumberFormat="1" applyFont="1" applyFill="1" applyBorder="1" applyAlignment="1" applyProtection="1">
      <alignment horizontal="right" wrapText="1"/>
      <protection locked="0"/>
    </xf>
    <xf numFmtId="185" fontId="4" fillId="2" borderId="10" xfId="0" applyNumberFormat="1" applyFont="1" applyFill="1" applyBorder="1" applyAlignment="1" applyProtection="1">
      <alignment horizontal="right" wrapText="1"/>
      <protection locked="0"/>
    </xf>
    <xf numFmtId="185" fontId="4" fillId="2" borderId="5" xfId="0" applyNumberFormat="1" applyFont="1" applyFill="1" applyBorder="1" applyAlignment="1" applyProtection="1">
      <alignment horizontal="right" wrapText="1"/>
      <protection locked="0"/>
    </xf>
    <xf numFmtId="164" fontId="0" fillId="3" borderId="13" xfId="0" applyNumberFormat="1" applyFill="1" applyBorder="1" applyAlignment="1" applyProtection="1">
      <alignment horizontal="right"/>
    </xf>
    <xf numFmtId="49" fontId="0" fillId="0" borderId="14" xfId="0" applyNumberFormat="1" applyBorder="1" applyAlignment="1" applyProtection="1">
      <alignment horizontal="left" wrapText="1"/>
    </xf>
    <xf numFmtId="49" fontId="0" fillId="0" borderId="14" xfId="0" applyNumberFormat="1" applyBorder="1" applyAlignment="1" applyProtection="1">
      <alignment horizontal="left"/>
    </xf>
    <xf numFmtId="49" fontId="0" fillId="0" borderId="6" xfId="0" applyNumberFormat="1" applyBorder="1" applyAlignment="1" applyProtection="1">
      <alignment horizontal="left"/>
    </xf>
    <xf numFmtId="194" fontId="10" fillId="3" borderId="10" xfId="0" applyNumberFormat="1" applyFont="1" applyFill="1" applyBorder="1" applyAlignment="1" applyProtection="1">
      <alignment horizontal="right"/>
    </xf>
    <xf numFmtId="194" fontId="10" fillId="3" borderId="5" xfId="0" applyNumberFormat="1" applyFont="1" applyFill="1" applyBorder="1" applyAlignment="1" applyProtection="1">
      <alignment horizontal="right"/>
    </xf>
    <xf numFmtId="192" fontId="0" fillId="3" borderId="10" xfId="0" applyNumberFormat="1" applyFill="1" applyBorder="1" applyAlignment="1" applyProtection="1">
      <alignment horizontal="right"/>
    </xf>
    <xf numFmtId="192" fontId="0" fillId="3" borderId="5" xfId="0" applyNumberFormat="1" applyFill="1" applyBorder="1" applyAlignment="1" applyProtection="1">
      <alignment horizontal="right"/>
    </xf>
    <xf numFmtId="193" fontId="2" fillId="3" borderId="10" xfId="0" applyNumberFormat="1" applyFont="1" applyFill="1" applyBorder="1" applyAlignment="1" applyProtection="1">
      <alignment horizontal="right"/>
    </xf>
    <xf numFmtId="193" fontId="2" fillId="3" borderId="5" xfId="0" applyNumberFormat="1" applyFont="1" applyFill="1" applyBorder="1" applyAlignment="1" applyProtection="1">
      <alignment horizontal="right"/>
    </xf>
    <xf numFmtId="0" fontId="0" fillId="0" borderId="6" xfId="0" applyBorder="1"/>
    <xf numFmtId="49" fontId="0" fillId="0" borderId="8" xfId="0" applyNumberFormat="1" applyBorder="1" applyAlignment="1" applyProtection="1">
      <alignment horizontal="left" wrapText="1" readingOrder="1"/>
    </xf>
    <xf numFmtId="0" fontId="0" fillId="0" borderId="6" xfId="0" applyBorder="1" applyAlignment="1">
      <alignment readingOrder="1"/>
    </xf>
    <xf numFmtId="197" fontId="0" fillId="3" borderId="10" xfId="0" applyNumberFormat="1" applyFill="1" applyBorder="1" applyAlignment="1" applyProtection="1">
      <alignment horizontal="right"/>
    </xf>
    <xf numFmtId="197" fontId="0" fillId="3" borderId="5" xfId="0" applyNumberFormat="1" applyFill="1" applyBorder="1" applyAlignment="1" applyProtection="1">
      <alignment horizontal="right"/>
    </xf>
    <xf numFmtId="189" fontId="0" fillId="3" borderId="10" xfId="0" applyNumberFormat="1" applyFill="1" applyBorder="1" applyAlignment="1" applyProtection="1">
      <alignment horizontal="right"/>
    </xf>
    <xf numFmtId="189" fontId="0" fillId="3" borderId="5" xfId="0" applyNumberFormat="1" applyFill="1" applyBorder="1" applyAlignment="1" applyProtection="1">
      <alignment horizontal="right"/>
    </xf>
    <xf numFmtId="196" fontId="4" fillId="5" borderId="10" xfId="0" applyNumberFormat="1" applyFont="1" applyFill="1" applyBorder="1" applyAlignment="1" applyProtection="1">
      <alignment horizontal="right" wrapText="1"/>
      <protection locked="0"/>
    </xf>
    <xf numFmtId="196" fontId="4" fillId="5" borderId="5" xfId="0" applyNumberFormat="1" applyFont="1" applyFill="1" applyBorder="1" applyAlignment="1" applyProtection="1">
      <alignment horizontal="right" wrapText="1"/>
      <protection locked="0"/>
    </xf>
    <xf numFmtId="175" fontId="0" fillId="3" borderId="10" xfId="0" applyNumberFormat="1" applyFill="1" applyBorder="1" applyAlignment="1" applyProtection="1">
      <alignment horizontal="right"/>
    </xf>
    <xf numFmtId="175" fontId="0" fillId="3" borderId="5" xfId="0" applyNumberFormat="1" applyFill="1" applyBorder="1" applyAlignment="1" applyProtection="1">
      <alignment horizontal="right"/>
    </xf>
    <xf numFmtId="49" fontId="0" fillId="0" borderId="7" xfId="0" applyNumberFormat="1" applyFill="1" applyBorder="1" applyAlignment="1" applyProtection="1">
      <alignment horizontal="left" wrapText="1"/>
    </xf>
    <xf numFmtId="49" fontId="0" fillId="0" borderId="12" xfId="0" applyNumberFormat="1" applyFill="1" applyBorder="1" applyAlignment="1" applyProtection="1">
      <alignment horizontal="left" wrapText="1"/>
    </xf>
    <xf numFmtId="49" fontId="0" fillId="0" borderId="9" xfId="0" applyNumberFormat="1" applyFill="1" applyBorder="1" applyAlignment="1" applyProtection="1">
      <alignment horizontal="left" wrapText="1"/>
    </xf>
    <xf numFmtId="49" fontId="0" fillId="0" borderId="11" xfId="0" applyNumberFormat="1" applyFill="1" applyBorder="1" applyAlignment="1" applyProtection="1">
      <alignment horizontal="left" wrapText="1"/>
    </xf>
    <xf numFmtId="49" fontId="0" fillId="0" borderId="14" xfId="0" applyNumberFormat="1" applyFill="1" applyBorder="1" applyAlignment="1" applyProtection="1">
      <alignment horizontal="left" wrapText="1"/>
    </xf>
    <xf numFmtId="49" fontId="0" fillId="0" borderId="6" xfId="0" applyNumberFormat="1" applyFill="1" applyBorder="1" applyAlignment="1" applyProtection="1">
      <alignment horizontal="left" wrapText="1"/>
    </xf>
    <xf numFmtId="49" fontId="0" fillId="0" borderId="14" xfId="0" applyNumberFormat="1" applyFill="1" applyBorder="1" applyAlignment="1" applyProtection="1">
      <alignment horizontal="left"/>
    </xf>
    <xf numFmtId="49" fontId="0" fillId="0" borderId="6" xfId="0" applyNumberFormat="1" applyFill="1" applyBorder="1" applyAlignment="1" applyProtection="1">
      <alignment horizontal="left"/>
    </xf>
    <xf numFmtId="0" fontId="0" fillId="0" borderId="2" xfId="0" applyBorder="1" applyAlignment="1">
      <alignment horizontal="center"/>
    </xf>
    <xf numFmtId="49" fontId="2" fillId="0" borderId="7" xfId="0" applyNumberFormat="1" applyFont="1" applyFill="1" applyBorder="1" applyAlignment="1" applyProtection="1">
      <alignment horizontal="left" wrapText="1"/>
    </xf>
    <xf numFmtId="177" fontId="4" fillId="5" borderId="10" xfId="0" applyNumberFormat="1" applyFont="1" applyFill="1" applyBorder="1" applyAlignment="1" applyProtection="1">
      <alignment horizontal="right"/>
      <protection locked="0"/>
    </xf>
    <xf numFmtId="177" fontId="4" fillId="5" borderId="5" xfId="0" applyNumberFormat="1" applyFont="1" applyFill="1" applyBorder="1" applyAlignment="1" applyProtection="1">
      <alignment horizontal="right"/>
      <protection locked="0"/>
    </xf>
    <xf numFmtId="176" fontId="4" fillId="5" borderId="10" xfId="0" applyNumberFormat="1" applyFont="1" applyFill="1" applyBorder="1" applyAlignment="1" applyProtection="1">
      <alignment horizontal="right"/>
      <protection locked="0"/>
    </xf>
    <xf numFmtId="176" fontId="4" fillId="5" borderId="5" xfId="0" applyNumberFormat="1" applyFont="1" applyFill="1" applyBorder="1" applyAlignment="1" applyProtection="1">
      <alignment horizontal="right"/>
      <protection locked="0"/>
    </xf>
    <xf numFmtId="180" fontId="4" fillId="5" borderId="10" xfId="0" applyNumberFormat="1" applyFont="1" applyFill="1" applyBorder="1" applyAlignment="1" applyProtection="1">
      <alignment horizontal="right"/>
      <protection locked="0"/>
    </xf>
    <xf numFmtId="180" fontId="4" fillId="5" borderId="5" xfId="0" applyNumberFormat="1" applyFont="1" applyFill="1" applyBorder="1" applyAlignment="1" applyProtection="1">
      <alignment horizontal="right"/>
      <protection locked="0"/>
    </xf>
    <xf numFmtId="173" fontId="4" fillId="5" borderId="10" xfId="0" applyNumberFormat="1" applyFont="1" applyFill="1" applyBorder="1" applyAlignment="1" applyProtection="1">
      <alignment horizontal="right" wrapText="1"/>
      <protection locked="0"/>
    </xf>
    <xf numFmtId="173" fontId="4" fillId="5" borderId="5" xfId="0" applyNumberFormat="1" applyFont="1" applyFill="1" applyBorder="1" applyAlignment="1" applyProtection="1">
      <alignment horizontal="right" wrapText="1"/>
      <protection locked="0"/>
    </xf>
    <xf numFmtId="195" fontId="4" fillId="5" borderId="1" xfId="0" applyNumberFormat="1" applyFont="1" applyFill="1" applyBorder="1" applyAlignment="1" applyProtection="1">
      <alignment horizontal="right"/>
      <protection locked="0"/>
    </xf>
    <xf numFmtId="0" fontId="0" fillId="8" borderId="8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wrapText="1"/>
    </xf>
    <xf numFmtId="0" fontId="13" fillId="0" borderId="6" xfId="0" applyFont="1" applyBorder="1" applyAlignment="1">
      <alignment horizontal="center" vertical="center" wrapText="1"/>
    </xf>
    <xf numFmtId="2" fontId="0" fillId="3" borderId="10" xfId="0" applyNumberFormat="1" applyFill="1" applyBorder="1"/>
    <xf numFmtId="2" fontId="0" fillId="3" borderId="10" xfId="0" applyNumberFormat="1" applyFill="1" applyBorder="1" applyAlignment="1">
      <alignment wrapText="1"/>
    </xf>
    <xf numFmtId="49" fontId="0" fillId="0" borderId="4" xfId="0" applyNumberFormat="1" applyBorder="1" applyAlignment="1">
      <alignment horizontal="left" wrapText="1"/>
    </xf>
    <xf numFmtId="198" fontId="1" fillId="7" borderId="5" xfId="0" applyNumberFormat="1" applyFont="1" applyFill="1" applyBorder="1" applyAlignment="1" applyProtection="1">
      <alignment horizontal="right" wrapText="1"/>
      <protection locked="0"/>
    </xf>
    <xf numFmtId="164" fontId="0" fillId="3" borderId="1" xfId="0" applyNumberFormat="1" applyFill="1" applyBorder="1" applyAlignment="1">
      <alignment horizontal="right"/>
    </xf>
    <xf numFmtId="167" fontId="0" fillId="3" borderId="14" xfId="0" applyNumberFormat="1" applyFill="1" applyBorder="1" applyAlignment="1">
      <alignment horizontal="right"/>
    </xf>
    <xf numFmtId="49" fontId="0" fillId="0" borderId="8" xfId="0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1" fontId="1" fillId="7" borderId="1" xfId="0" applyNumberFormat="1" applyFont="1" applyFill="1" applyBorder="1" applyAlignment="1" applyProtection="1">
      <alignment horizontal="right"/>
      <protection locked="0"/>
    </xf>
    <xf numFmtId="167" fontId="0" fillId="3" borderId="1" xfId="0" applyNumberFormat="1" applyFill="1" applyBorder="1" applyAlignment="1">
      <alignment horizontal="right"/>
    </xf>
    <xf numFmtId="1" fontId="1" fillId="7" borderId="10" xfId="0" applyNumberFormat="1" applyFont="1" applyFill="1" applyBorder="1" applyAlignment="1" applyProtection="1">
      <alignment horizontal="right"/>
      <protection locked="0"/>
    </xf>
    <xf numFmtId="167" fontId="0" fillId="3" borderId="10" xfId="0" applyNumberFormat="1" applyFill="1" applyBorder="1" applyAlignment="1">
      <alignment horizontal="right"/>
    </xf>
    <xf numFmtId="49" fontId="2" fillId="0" borderId="8" xfId="0" applyNumberFormat="1" applyFont="1" applyBorder="1" applyAlignment="1">
      <alignment horizontal="left" wrapText="1"/>
    </xf>
    <xf numFmtId="1" fontId="1" fillId="7" borderId="1" xfId="0" applyNumberFormat="1" applyFont="1" applyFill="1" applyBorder="1" applyProtection="1">
      <protection locked="0"/>
    </xf>
    <xf numFmtId="167" fontId="0" fillId="3" borderId="10" xfId="0" applyNumberFormat="1" applyFill="1" applyBorder="1"/>
    <xf numFmtId="199" fontId="1" fillId="3" borderId="10" xfId="0" applyNumberFormat="1" applyFont="1" applyFill="1" applyBorder="1"/>
    <xf numFmtId="49" fontId="0" fillId="0" borderId="8" xfId="0" applyNumberFormat="1" applyBorder="1" applyAlignment="1">
      <alignment horizontal="left" wrapText="1"/>
    </xf>
    <xf numFmtId="173" fontId="1" fillId="7" borderId="1" xfId="0" applyNumberFormat="1" applyFont="1" applyFill="1" applyBorder="1" applyAlignment="1" applyProtection="1">
      <alignment horizontal="right" wrapText="1"/>
      <protection locked="0"/>
    </xf>
    <xf numFmtId="200" fontId="1" fillId="3" borderId="10" xfId="0" applyNumberFormat="1" applyFont="1" applyFill="1" applyBorder="1"/>
    <xf numFmtId="49" fontId="0" fillId="0" borderId="8" xfId="0" applyNumberFormat="1" applyBorder="1" applyAlignment="1">
      <alignment wrapText="1"/>
    </xf>
    <xf numFmtId="168" fontId="1" fillId="7" borderId="12" xfId="0" applyNumberFormat="1" applyFont="1" applyFill="1" applyBorder="1" applyAlignment="1" applyProtection="1">
      <alignment wrapText="1"/>
      <protection locked="0"/>
    </xf>
    <xf numFmtId="164" fontId="0" fillId="3" borderId="1" xfId="0" applyNumberFormat="1" applyFill="1" applyBorder="1"/>
    <xf numFmtId="167" fontId="0" fillId="3" borderId="1" xfId="0" applyNumberFormat="1" applyFill="1" applyBorder="1"/>
    <xf numFmtId="2" fontId="0" fillId="3" borderId="1" xfId="0" applyNumberFormat="1" applyFill="1" applyBorder="1"/>
    <xf numFmtId="49" fontId="1" fillId="0" borderId="8" xfId="0" applyNumberFormat="1" applyFont="1" applyBorder="1" applyAlignment="1">
      <alignment horizontal="left" wrapText="1"/>
    </xf>
    <xf numFmtId="170" fontId="0" fillId="3" borderId="5" xfId="0" applyNumberFormat="1" applyFill="1" applyBorder="1" applyAlignment="1">
      <alignment horizontal="right"/>
    </xf>
    <xf numFmtId="167" fontId="0" fillId="3" borderId="5" xfId="0" applyNumberForma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7" borderId="1" xfId="0" applyNumberFormat="1" applyFont="1" applyFill="1" applyBorder="1" applyProtection="1">
      <protection locked="0"/>
    </xf>
    <xf numFmtId="0" fontId="2" fillId="0" borderId="0" xfId="0" applyFont="1"/>
    <xf numFmtId="2" fontId="9" fillId="0" borderId="0" xfId="0" applyNumberFormat="1" applyFont="1"/>
    <xf numFmtId="3" fontId="9" fillId="0" borderId="0" xfId="0" applyNumberFormat="1" applyFont="1"/>
    <xf numFmtId="0" fontId="0" fillId="10" borderId="1" xfId="0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</a:t>
            </a:r>
          </a:p>
        </c:rich>
      </c:tx>
      <c:layout>
        <c:manualLayout>
          <c:xMode val="edge"/>
          <c:yMode val="edge"/>
          <c:x val="0.42807659109726176"/>
          <c:y val="1.22248945535504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1863805804345"/>
          <c:y val="7.0904730125795484E-2"/>
          <c:w val="0.86135254866949595"/>
          <c:h val="0.76283709652580911"/>
        </c:manualLayout>
      </c:layout>
      <c:scatterChart>
        <c:scatterStyle val="lineMarker"/>
        <c:varyColors val="0"/>
        <c:ser>
          <c:idx val="2"/>
          <c:order val="0"/>
          <c:tx>
            <c:v>ENVELOPE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B3-4444-BA19-34BA18E5B9F5}"/>
              </c:ext>
            </c:extLst>
          </c:dPt>
          <c:xVal>
            <c:numRef>
              <c:f>Specs!$A$3:$A$10</c:f>
              <c:numCache>
                <c:formatCode>0.00</c:formatCode>
                <c:ptCount val="8"/>
                <c:pt idx="0">
                  <c:v>52.5</c:v>
                </c:pt>
                <c:pt idx="1">
                  <c:v>68</c:v>
                </c:pt>
                <c:pt idx="2">
                  <c:v>104</c:v>
                </c:pt>
                <c:pt idx="3">
                  <c:v>121</c:v>
                </c:pt>
                <c:pt idx="4">
                  <c:v>70.5</c:v>
                </c:pt>
                <c:pt idx="5">
                  <c:v>60.5</c:v>
                </c:pt>
                <c:pt idx="6">
                  <c:v>86</c:v>
                </c:pt>
                <c:pt idx="7">
                  <c:v>77.5</c:v>
                </c:pt>
              </c:numCache>
            </c:numRef>
          </c:xVal>
          <c:yVal>
            <c:numRef>
              <c:f>Specs!$B$3:$B$10</c:f>
              <c:numCache>
                <c:formatCode>General</c:formatCode>
                <c:ptCount val="8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  <c:pt idx="5">
                  <c:v>1500</c:v>
                </c:pt>
                <c:pt idx="6">
                  <c:v>2100</c:v>
                </c:pt>
                <c:pt idx="7">
                  <c:v>2100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B3-4444-BA19-34BA18E5B9F5}"/>
            </c:ext>
          </c:extLst>
        </c:ser>
        <c:ser>
          <c:idx val="9"/>
          <c:order val="1"/>
          <c:tx>
            <c:v>T/O</c:v>
          </c:tx>
          <c:spPr>
            <a:ln w="3175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0.5</c:v>
                </c:pt>
              </c:numLit>
            </c:plus>
            <c:minus>
              <c:numLit>
                <c:formatCode>General</c:formatCode>
                <c:ptCount val="1"/>
                <c:pt idx="0">
                  <c:v>0.5</c:v>
                </c:pt>
              </c:numLit>
            </c:minus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xVal>
            <c:numRef>
              <c:f>'35408'!$F$13</c:f>
              <c:numCache>
                <c:formatCode>#,##0.00\ \ </c:formatCode>
                <c:ptCount val="1"/>
                <c:pt idx="0">
                  <c:v>92.5636832</c:v>
                </c:pt>
              </c:numCache>
            </c:numRef>
          </c:xVal>
          <c:yVal>
            <c:numRef>
              <c:f>'35408'!$D$13</c:f>
              <c:numCache>
                <c:formatCode>[Red][&gt;2550]#,##0\ \ ;[Black]#,##0\ \ </c:formatCode>
                <c:ptCount val="1"/>
                <c:pt idx="0">
                  <c:v>2274.9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B3-4444-BA19-34BA18E5B9F5}"/>
            </c:ext>
          </c:extLst>
        </c:ser>
        <c:ser>
          <c:idx val="0"/>
          <c:order val="2"/>
          <c:tx>
            <c:v>LDG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'35408'!$F$17</c:f>
              <c:numCache>
                <c:formatCode>0.00</c:formatCode>
                <c:ptCount val="1"/>
                <c:pt idx="0">
                  <c:v>93.823999999999998</c:v>
                </c:pt>
              </c:numCache>
            </c:numRef>
          </c:xVal>
          <c:yVal>
            <c:numRef>
              <c:f>'35408'!$D$17</c:f>
              <c:numCache>
                <c:formatCode>[Red][&gt;2550]#,##0\ \ ;[Black]#,##0\ \ </c:formatCode>
                <c:ptCount val="1"/>
                <c:pt idx="0">
                  <c:v>2299.5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B3-4444-BA19-34BA18E5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934152"/>
        <c:axId val="386931016"/>
      </c:scatterChart>
      <c:valAx>
        <c:axId val="386934152"/>
        <c:scaling>
          <c:orientation val="minMax"/>
          <c:max val="130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Moment</a:t>
                </a:r>
              </a:p>
            </c:rich>
          </c:tx>
          <c:layout>
            <c:manualLayout>
              <c:xMode val="edge"/>
              <c:yMode val="edge"/>
              <c:x val="0.49566752981381024"/>
              <c:y val="0.88019674826638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931016"/>
        <c:crossesAt val="1000"/>
        <c:crossBetween val="midCat"/>
        <c:minorUnit val="8.8987133728500005"/>
      </c:valAx>
      <c:valAx>
        <c:axId val="386931016"/>
        <c:scaling>
          <c:orientation val="minMax"/>
          <c:max val="2600"/>
          <c:min val="15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
</a:t>
                </a:r>
              </a:p>
            </c:rich>
          </c:tx>
          <c:layout>
            <c:manualLayout>
              <c:xMode val="edge"/>
              <c:yMode val="edge"/>
              <c:x val="8.6654688298192211E-3"/>
              <c:y val="0.393643596106906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934152"/>
        <c:crossesAt val="50"/>
        <c:crossBetween val="midCat"/>
        <c:majorUnit val="10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540114737491285"/>
          <c:y val="0.93917274939172746"/>
          <c:w val="0.5454850732775316"/>
          <c:h val="5.35279805352798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44" r="0.75000000000000544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</a:t>
            </a:r>
          </a:p>
        </c:rich>
      </c:tx>
      <c:layout>
        <c:manualLayout>
          <c:xMode val="edge"/>
          <c:yMode val="edge"/>
          <c:x val="0.42807659109726176"/>
          <c:y val="1.22248945535504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1863805804345"/>
          <c:y val="7.0904730125795484E-2"/>
          <c:w val="0.86135254866949595"/>
          <c:h val="0.76283709652580911"/>
        </c:manualLayout>
      </c:layout>
      <c:scatterChart>
        <c:scatterStyle val="lineMarker"/>
        <c:varyColors val="0"/>
        <c:ser>
          <c:idx val="2"/>
          <c:order val="0"/>
          <c:tx>
            <c:v>ENVELOPE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B9-4793-844E-BA3DF5DF96B8}"/>
              </c:ext>
            </c:extLst>
          </c:dPt>
          <c:xVal>
            <c:numRef>
              <c:f>Specs!$C$3:$C$10</c:f>
              <c:numCache>
                <c:formatCode>0.00</c:formatCode>
                <c:ptCount val="8"/>
                <c:pt idx="0">
                  <c:v>52.5</c:v>
                </c:pt>
                <c:pt idx="1">
                  <c:v>68</c:v>
                </c:pt>
                <c:pt idx="2">
                  <c:v>104</c:v>
                </c:pt>
                <c:pt idx="3">
                  <c:v>121</c:v>
                </c:pt>
                <c:pt idx="4">
                  <c:v>70.5</c:v>
                </c:pt>
                <c:pt idx="5" formatCode="General">
                  <c:v>61</c:v>
                </c:pt>
                <c:pt idx="6" formatCode="General">
                  <c:v>89</c:v>
                </c:pt>
                <c:pt idx="7" formatCode="General">
                  <c:v>83</c:v>
                </c:pt>
              </c:numCache>
            </c:numRef>
          </c:xVal>
          <c:yVal>
            <c:numRef>
              <c:f>Specs!$D$3:$D$10</c:f>
              <c:numCache>
                <c:formatCode>General</c:formatCode>
                <c:ptCount val="8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  <c:pt idx="5">
                  <c:v>1500</c:v>
                </c:pt>
                <c:pt idx="6">
                  <c:v>2200</c:v>
                </c:pt>
                <c:pt idx="7">
                  <c:v>2200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B9-4793-844E-BA3DF5DF96B8}"/>
            </c:ext>
          </c:extLst>
        </c:ser>
        <c:ser>
          <c:idx val="9"/>
          <c:order val="1"/>
          <c:tx>
            <c:v>T/O</c:v>
          </c:tx>
          <c:spPr>
            <a:ln w="3175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0.5</c:v>
                </c:pt>
              </c:numLit>
            </c:plus>
            <c:minus>
              <c:numLit>
                <c:formatCode>General</c:formatCode>
                <c:ptCount val="1"/>
                <c:pt idx="0">
                  <c:v>0.5</c:v>
                </c:pt>
              </c:numLit>
            </c:minus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xVal>
            <c:numRef>
              <c:f>'453SP'!$F$13</c:f>
              <c:numCache>
                <c:formatCode>#,##0.00\ \ </c:formatCode>
                <c:ptCount val="1"/>
                <c:pt idx="0">
                  <c:v>95.80868319999999</c:v>
                </c:pt>
              </c:numCache>
            </c:numRef>
          </c:xVal>
          <c:yVal>
            <c:numRef>
              <c:f>'453SP'!$D$13</c:f>
              <c:numCache>
                <c:formatCode>[Red][&gt;2550]#,##0\ \ ;[Black]#,##0\ \ </c:formatCode>
                <c:ptCount val="1"/>
                <c:pt idx="0">
                  <c:v>2382.2000000000003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CB9-4793-844E-BA3DF5DF96B8}"/>
            </c:ext>
          </c:extLst>
        </c:ser>
        <c:ser>
          <c:idx val="0"/>
          <c:order val="2"/>
          <c:tx>
            <c:v>LDG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'453SP'!$F$17</c:f>
              <c:numCache>
                <c:formatCode>0.00</c:formatCode>
                <c:ptCount val="1"/>
                <c:pt idx="0">
                  <c:v>90.289000000000001</c:v>
                </c:pt>
              </c:numCache>
            </c:numRef>
          </c:xVal>
          <c:yVal>
            <c:numRef>
              <c:f>'453SP'!$D$17</c:f>
              <c:numCache>
                <c:formatCode>[Red][&gt;2550]#,##0\ \ ;[Black]#,##0\ \ </c:formatCode>
                <c:ptCount val="1"/>
                <c:pt idx="0">
                  <c:v>2268.8000000000002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CB9-4793-844E-BA3DF5DF9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930624"/>
        <c:axId val="386932192"/>
      </c:scatterChart>
      <c:valAx>
        <c:axId val="386930624"/>
        <c:scaling>
          <c:orientation val="minMax"/>
          <c:max val="130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Moment</a:t>
                </a:r>
              </a:p>
            </c:rich>
          </c:tx>
          <c:layout>
            <c:manualLayout>
              <c:xMode val="edge"/>
              <c:yMode val="edge"/>
              <c:x val="0.49566752981381024"/>
              <c:y val="0.88019674826638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932192"/>
        <c:crossesAt val="1000"/>
        <c:crossBetween val="midCat"/>
        <c:minorUnit val="8.8987133728500005"/>
      </c:valAx>
      <c:valAx>
        <c:axId val="386932192"/>
        <c:scaling>
          <c:orientation val="minMax"/>
          <c:max val="2600"/>
          <c:min val="15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
</a:t>
                </a:r>
              </a:p>
            </c:rich>
          </c:tx>
          <c:layout>
            <c:manualLayout>
              <c:xMode val="edge"/>
              <c:yMode val="edge"/>
              <c:x val="8.6654688298192211E-3"/>
              <c:y val="0.393643596106906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930624"/>
        <c:crossesAt val="50"/>
        <c:crossBetween val="midCat"/>
        <c:majorUnit val="10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372273176482955"/>
          <c:y val="0.93917274939172746"/>
          <c:w val="0.5454850732775316"/>
          <c:h val="5.35279805352798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44" r="0.75000000000000544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</a:t>
            </a:r>
          </a:p>
        </c:rich>
      </c:tx>
      <c:layout>
        <c:manualLayout>
          <c:xMode val="edge"/>
          <c:yMode val="edge"/>
          <c:x val="0.42807659109726176"/>
          <c:y val="1.22248945535504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1863805804345"/>
          <c:y val="6.8459739431802308E-2"/>
          <c:w val="0.86135254866949595"/>
          <c:h val="0.76528208721979063"/>
        </c:manualLayout>
      </c:layout>
      <c:scatterChart>
        <c:scatterStyle val="lineMarker"/>
        <c:varyColors val="0"/>
        <c:ser>
          <c:idx val="2"/>
          <c:order val="0"/>
          <c:tx>
            <c:v>ENVELOPE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6C-44F7-A74B-414C81A9C732}"/>
              </c:ext>
            </c:extLst>
          </c:dPt>
          <c:xVal>
            <c:numRef>
              <c:f>Specs!$A$3:$A$10</c:f>
              <c:numCache>
                <c:formatCode>0.00</c:formatCode>
                <c:ptCount val="8"/>
                <c:pt idx="0">
                  <c:v>52.5</c:v>
                </c:pt>
                <c:pt idx="1">
                  <c:v>68</c:v>
                </c:pt>
                <c:pt idx="2">
                  <c:v>104</c:v>
                </c:pt>
                <c:pt idx="3">
                  <c:v>121</c:v>
                </c:pt>
                <c:pt idx="4">
                  <c:v>70.5</c:v>
                </c:pt>
                <c:pt idx="5">
                  <c:v>60.5</c:v>
                </c:pt>
                <c:pt idx="6">
                  <c:v>86</c:v>
                </c:pt>
                <c:pt idx="7">
                  <c:v>77.5</c:v>
                </c:pt>
              </c:numCache>
            </c:numRef>
          </c:xVal>
          <c:yVal>
            <c:numRef>
              <c:f>Specs!$B$3:$B$10</c:f>
              <c:numCache>
                <c:formatCode>General</c:formatCode>
                <c:ptCount val="8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  <c:pt idx="5">
                  <c:v>1500</c:v>
                </c:pt>
                <c:pt idx="6">
                  <c:v>2100</c:v>
                </c:pt>
                <c:pt idx="7">
                  <c:v>2100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6C-44F7-A74B-414C81A9C732}"/>
            </c:ext>
          </c:extLst>
        </c:ser>
        <c:ser>
          <c:idx val="9"/>
          <c:order val="1"/>
          <c:tx>
            <c:v>T/O</c:v>
          </c:tx>
          <c:spPr>
            <a:ln w="3175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0.5</c:v>
                </c:pt>
              </c:numLit>
            </c:plus>
            <c:minus>
              <c:numLit>
                <c:formatCode>General</c:formatCode>
                <c:ptCount val="1"/>
                <c:pt idx="0">
                  <c:v>0.5</c:v>
                </c:pt>
              </c:numLit>
            </c:minus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xVal>
            <c:numRef>
              <c:f>'722SA'!$F$13</c:f>
              <c:numCache>
                <c:formatCode>#,##0.00\ \ </c:formatCode>
                <c:ptCount val="1"/>
                <c:pt idx="0">
                  <c:v>86.167683199999999</c:v>
                </c:pt>
              </c:numCache>
            </c:numRef>
          </c:xVal>
          <c:yVal>
            <c:numRef>
              <c:f>'722SA'!$D$13</c:f>
              <c:numCache>
                <c:formatCode>[Red][&gt;2450]#,##0\ \ ;[Black]#,##0\ \ </c:formatCode>
                <c:ptCount val="1"/>
                <c:pt idx="0">
                  <c:v>2127.1799999999998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6C-44F7-A74B-414C81A9C732}"/>
            </c:ext>
          </c:extLst>
        </c:ser>
        <c:ser>
          <c:idx val="0"/>
          <c:order val="2"/>
          <c:tx>
            <c:v>LDG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'722SA'!$F$17</c:f>
              <c:numCache>
                <c:formatCode>0.00</c:formatCode>
                <c:ptCount val="1"/>
                <c:pt idx="0">
                  <c:v>76.003999999999991</c:v>
                </c:pt>
              </c:numCache>
            </c:numRef>
          </c:xVal>
          <c:yVal>
            <c:numRef>
              <c:f>'722SA'!$D$17</c:f>
              <c:numCache>
                <c:formatCode>[Red][&gt;2450]#,##0\ \ ;[Black]#,##0\ \ </c:formatCode>
                <c:ptCount val="1"/>
                <c:pt idx="0">
                  <c:v>1917.78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66C-44F7-A74B-414C81A9C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932584"/>
        <c:axId val="386933368"/>
      </c:scatterChart>
      <c:valAx>
        <c:axId val="386932584"/>
        <c:scaling>
          <c:orientation val="minMax"/>
          <c:max val="130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Moment</a:t>
                </a:r>
              </a:p>
            </c:rich>
          </c:tx>
          <c:layout>
            <c:manualLayout>
              <c:xMode val="edge"/>
              <c:yMode val="edge"/>
              <c:x val="0.49393454173932982"/>
              <c:y val="0.887531531807544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933368"/>
        <c:crossesAt val="1000"/>
        <c:crossBetween val="midCat"/>
        <c:minorUnit val="8.8987133728500005"/>
      </c:valAx>
      <c:valAx>
        <c:axId val="386933368"/>
        <c:scaling>
          <c:orientation val="minMax"/>
          <c:max val="2600"/>
          <c:min val="15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
</a:t>
                </a:r>
              </a:p>
            </c:rich>
          </c:tx>
          <c:layout>
            <c:manualLayout>
              <c:xMode val="edge"/>
              <c:yMode val="edge"/>
              <c:x val="8.6654688298192211E-3"/>
              <c:y val="0.39119866825986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932584"/>
        <c:crossesAt val="50"/>
        <c:crossBetween val="midCat"/>
        <c:majorUnit val="10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372273176482955"/>
          <c:y val="0.93917274939172746"/>
          <c:w val="0.5454850732775316"/>
          <c:h val="5.35279805352798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44" r="0.75000000000000544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</a:t>
            </a:r>
          </a:p>
        </c:rich>
      </c:tx>
      <c:layout>
        <c:manualLayout>
          <c:xMode val="edge"/>
          <c:yMode val="edge"/>
          <c:x val="0.42807662040511835"/>
          <c:y val="1.2224938875305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84170284401654"/>
          <c:y val="7.3164003483763174E-2"/>
          <c:w val="0.86655185982846672"/>
          <c:h val="0.76283709652579712"/>
        </c:manualLayout>
      </c:layout>
      <c:scatterChart>
        <c:scatterStyle val="lineMarker"/>
        <c:varyColors val="0"/>
        <c:ser>
          <c:idx val="2"/>
          <c:order val="0"/>
          <c:tx>
            <c:v>ENVELOPE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[1]Specs!$C$3:$C$9</c:f>
              <c:numCache>
                <c:formatCode>General</c:formatCode>
                <c:ptCount val="7"/>
                <c:pt idx="0">
                  <c:v>36.4</c:v>
                </c:pt>
                <c:pt idx="1">
                  <c:v>36.4</c:v>
                </c:pt>
                <c:pt idx="2">
                  <c:v>40.1</c:v>
                </c:pt>
                <c:pt idx="3">
                  <c:v>41.4</c:v>
                </c:pt>
                <c:pt idx="4">
                  <c:v>43.95</c:v>
                </c:pt>
                <c:pt idx="5">
                  <c:v>45.5</c:v>
                </c:pt>
                <c:pt idx="6">
                  <c:v>45.5</c:v>
                </c:pt>
              </c:numCache>
            </c:numRef>
          </c:xVal>
          <c:yVal>
            <c:numRef>
              <c:f>[1]Specs!$D$3:$D$9</c:f>
              <c:numCache>
                <c:formatCode>General</c:formatCode>
                <c:ptCount val="7"/>
                <c:pt idx="0">
                  <c:v>1700</c:v>
                </c:pt>
                <c:pt idx="1">
                  <c:v>1825</c:v>
                </c:pt>
                <c:pt idx="2">
                  <c:v>2312</c:v>
                </c:pt>
                <c:pt idx="3">
                  <c:v>2487</c:v>
                </c:pt>
                <c:pt idx="4">
                  <c:v>2487</c:v>
                </c:pt>
                <c:pt idx="5">
                  <c:v>2312</c:v>
                </c:pt>
                <c:pt idx="6">
                  <c:v>1700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A4-4B3B-8585-EB16F2AF83BE}"/>
            </c:ext>
          </c:extLst>
        </c:ser>
        <c:ser>
          <c:idx val="9"/>
          <c:order val="1"/>
          <c:tx>
            <c:v>T/O</c:v>
          </c:tx>
          <c:spPr>
            <a:ln w="3175">
              <a:noFill/>
              <a:prstDash val="solid"/>
            </a:ln>
          </c:spPr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x"/>
            <c:errBarType val="both"/>
            <c:errValType val="percentage"/>
            <c:noEndCap val="1"/>
            <c:val val="1"/>
            <c:spPr>
              <a:ln w="12700">
                <a:noFill/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noFill/>
                <a:prstDash val="solid"/>
              </a:ln>
            </c:spPr>
          </c:errBars>
          <c:xVal>
            <c:numRef>
              <c:f>'98637'!$D$11</c:f>
              <c:numCache>
                <c:formatCode>0.0</c:formatCode>
                <c:ptCount val="1"/>
                <c:pt idx="0">
                  <c:v>42.712821938906472</c:v>
                </c:pt>
              </c:numCache>
            </c:numRef>
          </c:xVal>
          <c:yVal>
            <c:numRef>
              <c:f>'98637'!$C$11</c:f>
              <c:numCache>
                <c:formatCode>[Red][&gt;2551]#,##0\ \ ;[Black]#,##0\ \ </c:formatCode>
                <c:ptCount val="1"/>
                <c:pt idx="0">
                  <c:v>2337.4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A4-4B3B-8585-EB16F2AF83BE}"/>
            </c:ext>
          </c:extLst>
        </c:ser>
        <c:ser>
          <c:idx val="0"/>
          <c:order val="2"/>
          <c:tx>
            <c:v>LDG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'98637'!$D$13</c:f>
              <c:numCache>
                <c:formatCode>0.0</c:formatCode>
                <c:ptCount val="1"/>
                <c:pt idx="0">
                  <c:v>42.271692778344303</c:v>
                </c:pt>
              </c:numCache>
            </c:numRef>
          </c:xVal>
          <c:yVal>
            <c:numRef>
              <c:f>'98637'!$C$13</c:f>
              <c:numCache>
                <c:formatCode>[Red][&gt;2550]#,##0\ \ ;[Black]#,##0\ \ </c:formatCode>
                <c:ptCount val="1"/>
                <c:pt idx="0">
                  <c:v>2157.4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A4-4B3B-8585-EB16F2AF83BE}"/>
            </c:ext>
          </c:extLst>
        </c:ser>
        <c:ser>
          <c:idx val="1"/>
          <c:order val="3"/>
          <c:tx>
            <c:v>Fuel Burn</c:v>
          </c:tx>
          <c:spPr>
            <a:ln w="19050">
              <a:prstDash val="sysDash"/>
            </a:ln>
          </c:spPr>
          <c:marker>
            <c:symbol val="none"/>
          </c:marker>
          <c:xVal>
            <c:numRef>
              <c:f>('98637'!$D$11,'98637'!$D$13)</c:f>
              <c:numCache>
                <c:formatCode>0.0</c:formatCode>
                <c:ptCount val="2"/>
                <c:pt idx="0">
                  <c:v>42.712821938906472</c:v>
                </c:pt>
                <c:pt idx="1">
                  <c:v>42.271692778344303</c:v>
                </c:pt>
              </c:numCache>
            </c:numRef>
          </c:xVal>
          <c:yVal>
            <c:numRef>
              <c:f>('98637'!$C$11,'98637'!$C$13)</c:f>
              <c:numCache>
                <c:formatCode>[Red][&gt;2550]#,##0\ \ ;[Black]#,##0\ \ </c:formatCode>
                <c:ptCount val="2"/>
                <c:pt idx="0" formatCode="[Red][&gt;2551]#,##0\ \ ;[Black]#,##0\ \ ">
                  <c:v>2337.4</c:v>
                </c:pt>
                <c:pt idx="1">
                  <c:v>2157.4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A4-4B3B-8585-EB16F2AF83BE}"/>
            </c:ext>
          </c:extLst>
        </c:ser>
        <c:ser>
          <c:idx val="3"/>
          <c:order val="4"/>
          <c:tx>
            <c:v>Max GW</c:v>
          </c:tx>
          <c:spPr>
            <a:ln w="15875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11038961038961038"/>
                  <c:y val="-3.0097817908201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A4-4B3B-8585-EB16F2AF83B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A4-4B3B-8585-EB16F2AF83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[1]Specs!$E$3:$E$4</c:f>
              <c:numCache>
                <c:formatCode>General</c:formatCode>
                <c:ptCount val="2"/>
                <c:pt idx="0">
                  <c:v>36</c:v>
                </c:pt>
                <c:pt idx="1">
                  <c:v>41.2</c:v>
                </c:pt>
              </c:numCache>
            </c:numRef>
          </c:xVal>
          <c:yVal>
            <c:numRef>
              <c:f>[1]Specs!$F$3:$F$4</c:f>
              <c:numCache>
                <c:formatCode>General</c:formatCode>
                <c:ptCount val="2"/>
                <c:pt idx="0">
                  <c:v>2487</c:v>
                </c:pt>
                <c:pt idx="1">
                  <c:v>2487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AA4-4B3B-8585-EB16F2AF8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463264"/>
        <c:axId val="387462480"/>
      </c:scatterChart>
      <c:valAx>
        <c:axId val="387463264"/>
        <c:scaling>
          <c:orientation val="minMax"/>
          <c:max val="48"/>
          <c:min val="36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C.G.</a:t>
                </a:r>
              </a:p>
            </c:rich>
          </c:tx>
          <c:layout>
            <c:manualLayout>
              <c:xMode val="edge"/>
              <c:yMode val="edge"/>
              <c:x val="0.5164648353097977"/>
              <c:y val="0.877751638013463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462480"/>
        <c:crossesAt val="1000"/>
        <c:crossBetween val="midCat"/>
        <c:majorUnit val="1"/>
        <c:minorUnit val="1"/>
      </c:valAx>
      <c:valAx>
        <c:axId val="387462480"/>
        <c:scaling>
          <c:orientation val="minMax"/>
          <c:max val="2600"/>
          <c:min val="17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
</a:t>
                </a:r>
              </a:p>
            </c:rich>
          </c:tx>
          <c:layout>
            <c:manualLayout>
              <c:xMode val="edge"/>
              <c:yMode val="edge"/>
              <c:x val="8.6655112651646445E-3"/>
              <c:y val="0.383863594067856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463264"/>
        <c:crossesAt val="25"/>
        <c:crossBetween val="midCat"/>
        <c:majorUnit val="10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483945188669599E-2"/>
          <c:y val="0.92683718146969785"/>
          <c:w val="0.80647254320482664"/>
          <c:h val="6.1123691367021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</a:t>
            </a:r>
          </a:p>
        </c:rich>
      </c:tx>
      <c:layout>
        <c:manualLayout>
          <c:xMode val="edge"/>
          <c:yMode val="edge"/>
          <c:x val="0.41714359820066738"/>
          <c:y val="1.22248945535504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7259779129052E-2"/>
          <c:y val="6.8459739431802308E-2"/>
          <c:w val="0.90857311862559265"/>
          <c:h val="0.76039210583180417"/>
        </c:manualLayout>
      </c:layout>
      <c:scatterChart>
        <c:scatterStyle val="lineMarker"/>
        <c:varyColors val="0"/>
        <c:ser>
          <c:idx val="2"/>
          <c:order val="0"/>
          <c:tx>
            <c:v>ENVELOPE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Specs!$E$3:$E$7</c:f>
              <c:numCache>
                <c:formatCode>0.00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39.5</c:v>
                </c:pt>
                <c:pt idx="3">
                  <c:v>46.5</c:v>
                </c:pt>
                <c:pt idx="4">
                  <c:v>46.5</c:v>
                </c:pt>
              </c:numCache>
            </c:numRef>
          </c:xVal>
          <c:yVal>
            <c:numRef>
              <c:f>Specs!$F$3:$F$7</c:f>
              <c:numCache>
                <c:formatCode>#,##0</c:formatCode>
                <c:ptCount val="5"/>
                <c:pt idx="0">
                  <c:v>1600</c:v>
                </c:pt>
                <c:pt idx="1">
                  <c:v>1955</c:v>
                </c:pt>
                <c:pt idx="2">
                  <c:v>2650</c:v>
                </c:pt>
                <c:pt idx="3">
                  <c:v>2650</c:v>
                </c:pt>
                <c:pt idx="4">
                  <c:v>1600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10-4B85-97D8-C9896620E216}"/>
            </c:ext>
          </c:extLst>
        </c:ser>
        <c:ser>
          <c:idx val="9"/>
          <c:order val="1"/>
          <c:tx>
            <c:v>T/O</c:v>
          </c:tx>
          <c:spPr>
            <a:ln w="3175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0.5</c:v>
                </c:pt>
              </c:numLit>
            </c:plus>
            <c:minus>
              <c:numLit>
                <c:formatCode>General</c:formatCode>
                <c:ptCount val="1"/>
                <c:pt idx="0">
                  <c:v>0.5</c:v>
                </c:pt>
              </c:numLit>
            </c:minus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xVal>
            <c:numRef>
              <c:f>'9390B'!$E$13</c:f>
              <c:numCache>
                <c:formatCode>0.00\ </c:formatCode>
                <c:ptCount val="1"/>
                <c:pt idx="0">
                  <c:v>39.599255583126549</c:v>
                </c:pt>
              </c:numCache>
            </c:numRef>
          </c:xVal>
          <c:yVal>
            <c:numRef>
              <c:f>'9390B'!$D$13</c:f>
              <c:numCache>
                <c:formatCode>[Red][&gt;2750]#,##0\ \ ;[Black]#,##0\ \ </c:formatCode>
                <c:ptCount val="1"/>
                <c:pt idx="0">
                  <c:v>2418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10-4B85-97D8-C9896620E216}"/>
            </c:ext>
          </c:extLst>
        </c:ser>
        <c:ser>
          <c:idx val="0"/>
          <c:order val="2"/>
          <c:tx>
            <c:v>LDG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'9390B'!$E$17</c:f>
              <c:numCache>
                <c:formatCode>0.00\ </c:formatCode>
                <c:ptCount val="1"/>
                <c:pt idx="0">
                  <c:v>39.296915167095108</c:v>
                </c:pt>
              </c:numCache>
            </c:numRef>
          </c:xVal>
          <c:yVal>
            <c:numRef>
              <c:f>'9390B'!$D$17</c:f>
              <c:numCache>
                <c:formatCode>[Red][&gt;2650]#,##0\ \ ;[Black]#,##0\ \ </c:formatCode>
                <c:ptCount val="1"/>
                <c:pt idx="0">
                  <c:v>2334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10-4B85-97D8-C9896620E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842336"/>
        <c:axId val="388845472"/>
      </c:scatterChart>
      <c:valAx>
        <c:axId val="388842336"/>
        <c:scaling>
          <c:orientation val="minMax"/>
          <c:max val="48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Arm</a:t>
                </a:r>
              </a:p>
            </c:rich>
          </c:tx>
          <c:layout>
            <c:manualLayout>
              <c:xMode val="edge"/>
              <c:yMode val="edge"/>
              <c:x val="0.48762010390294735"/>
              <c:y val="0.86552667054750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845472"/>
        <c:crossesAt val="1000"/>
        <c:crossBetween val="midCat"/>
        <c:majorUnit val="1"/>
        <c:minorUnit val="1"/>
      </c:valAx>
      <c:valAx>
        <c:axId val="388845472"/>
        <c:scaling>
          <c:orientation val="minMax"/>
          <c:max val="2700"/>
          <c:min val="16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
</a:t>
                </a:r>
              </a:p>
            </c:rich>
          </c:tx>
          <c:layout>
            <c:manualLayout>
              <c:xMode val="edge"/>
              <c:yMode val="edge"/>
              <c:x val="9.5237265695770727E-3"/>
              <c:y val="0.388753485094521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842336"/>
        <c:crossesAt val="50"/>
        <c:crossBetween val="midCat"/>
        <c:majorUnit val="100"/>
        <c:min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3423091461854667"/>
          <c:y val="0.93917274939172746"/>
          <c:w val="0.59940982087423356"/>
          <c:h val="5.35279805352798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</a:t>
            </a:r>
          </a:p>
        </c:rich>
      </c:tx>
      <c:layout>
        <c:manualLayout>
          <c:xMode val="edge"/>
          <c:yMode val="edge"/>
          <c:x val="0.42807659109726176"/>
          <c:y val="1.0482283464566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18553433838712"/>
          <c:y val="5.2411008768607444E-2"/>
          <c:w val="0.86135254866949595"/>
          <c:h val="0.79664733328283843"/>
        </c:manualLayout>
      </c:layout>
      <c:scatterChart>
        <c:scatterStyle val="lineMarker"/>
        <c:varyColors val="0"/>
        <c:ser>
          <c:idx val="2"/>
          <c:order val="0"/>
          <c:tx>
            <c:v>ENVELOPE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F0-4CB6-96A3-2E973572D989}"/>
              </c:ext>
            </c:extLst>
          </c:dPt>
          <c:dPt>
            <c:idx val="6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F0-4CB6-96A3-2E973572D989}"/>
              </c:ext>
            </c:extLst>
          </c:dPt>
          <c:xVal>
            <c:numRef>
              <c:f>Specs!$I$3:$I$9</c:f>
              <c:numCache>
                <c:formatCode>General</c:formatCode>
                <c:ptCount val="7"/>
                <c:pt idx="0">
                  <c:v>59.5</c:v>
                </c:pt>
                <c:pt idx="1">
                  <c:v>74.2</c:v>
                </c:pt>
                <c:pt idx="2">
                  <c:v>126.8</c:v>
                </c:pt>
                <c:pt idx="3">
                  <c:v>142.5</c:v>
                </c:pt>
                <c:pt idx="4">
                  <c:v>83</c:v>
                </c:pt>
                <c:pt idx="5">
                  <c:v>135.80000000000001</c:v>
                </c:pt>
                <c:pt idx="6">
                  <c:v>117.5</c:v>
                </c:pt>
              </c:numCache>
            </c:numRef>
          </c:xVal>
          <c:yVal>
            <c:numRef>
              <c:f>Specs!$J$3:$J$9</c:f>
              <c:numCache>
                <c:formatCode>General</c:formatCode>
                <c:ptCount val="7"/>
                <c:pt idx="0">
                  <c:v>1800</c:v>
                </c:pt>
                <c:pt idx="1">
                  <c:v>2260</c:v>
                </c:pt>
                <c:pt idx="2">
                  <c:v>3100</c:v>
                </c:pt>
                <c:pt idx="3">
                  <c:v>3100</c:v>
                </c:pt>
                <c:pt idx="4">
                  <c:v>1800</c:v>
                </c:pt>
                <c:pt idx="5">
                  <c:v>2950</c:v>
                </c:pt>
                <c:pt idx="6">
                  <c:v>2950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1F0-4CB6-96A3-2E973572D989}"/>
            </c:ext>
          </c:extLst>
        </c:ser>
        <c:ser>
          <c:idx val="9"/>
          <c:order val="1"/>
          <c:tx>
            <c:v>T/O</c:v>
          </c:tx>
          <c:spPr>
            <a:ln w="3175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0.5</c:v>
                </c:pt>
              </c:numLit>
            </c:plus>
            <c:minus>
              <c:numLit>
                <c:formatCode>General</c:formatCode>
                <c:ptCount val="1"/>
                <c:pt idx="0">
                  <c:v>0.5</c:v>
                </c:pt>
              </c:numLit>
            </c:minus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xVal>
            <c:numRef>
              <c:f>'9209H'!$F$14</c:f>
              <c:numCache>
                <c:formatCode>#,##0.00\ \ </c:formatCode>
                <c:ptCount val="1"/>
                <c:pt idx="0">
                  <c:v>104.737652736</c:v>
                </c:pt>
              </c:numCache>
            </c:numRef>
          </c:xVal>
          <c:yVal>
            <c:numRef>
              <c:f>'9209H'!$D$14</c:f>
              <c:numCache>
                <c:formatCode>[Red][&gt;3101]#,##0\ \ ;[Black]#,##0\ \ </c:formatCode>
                <c:ptCount val="1"/>
                <c:pt idx="0">
                  <c:v>2669.38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1F0-4CB6-96A3-2E973572D989}"/>
            </c:ext>
          </c:extLst>
        </c:ser>
        <c:ser>
          <c:idx val="0"/>
          <c:order val="2"/>
          <c:tx>
            <c:v>LDG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'9209H'!$F$18</c:f>
              <c:numCache>
                <c:formatCode>0.00</c:formatCode>
                <c:ptCount val="1"/>
                <c:pt idx="0">
                  <c:v>97.067999999999998</c:v>
                </c:pt>
              </c:numCache>
            </c:numRef>
          </c:xVal>
          <c:yVal>
            <c:numRef>
              <c:f>'9209H'!$D$18</c:f>
              <c:numCache>
                <c:formatCode>[Red][&gt;2951]#,##0\ \ ;[Black]#,##0\ \ </c:formatCode>
                <c:ptCount val="1"/>
                <c:pt idx="0">
                  <c:v>2498.98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1F0-4CB6-96A3-2E973572D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847432"/>
        <c:axId val="388842728"/>
      </c:scatterChart>
      <c:valAx>
        <c:axId val="388847432"/>
        <c:scaling>
          <c:orientation val="minMax"/>
          <c:max val="145"/>
          <c:min val="5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Moment</a:t>
                </a:r>
              </a:p>
            </c:rich>
          </c:tx>
          <c:layout>
            <c:manualLayout>
              <c:xMode val="edge"/>
              <c:yMode val="edge"/>
              <c:x val="0.4922013775123748"/>
              <c:y val="0.890987095363079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842728"/>
        <c:crossesAt val="1000"/>
        <c:crossBetween val="midCat"/>
        <c:majorUnit val="5"/>
        <c:minorUnit val="5"/>
      </c:valAx>
      <c:valAx>
        <c:axId val="388842728"/>
        <c:scaling>
          <c:orientation val="minMax"/>
          <c:max val="3200"/>
          <c:min val="18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
</a:t>
                </a:r>
              </a:p>
            </c:rich>
          </c:tx>
          <c:layout>
            <c:manualLayout>
              <c:xMode val="edge"/>
              <c:yMode val="edge"/>
              <c:x val="8.6654688298192211E-3"/>
              <c:y val="0.400420166229226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847432"/>
        <c:crossesAt val="50"/>
        <c:crossBetween val="midCat"/>
        <c:majorUnit val="10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540114737491285"/>
          <c:y val="0.94831182070877873"/>
          <c:w val="0.5454850732775316"/>
          <c:h val="4.58524396826224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44" r="0.75000000000000544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</a:t>
            </a:r>
          </a:p>
        </c:rich>
      </c:tx>
      <c:layout>
        <c:manualLayout>
          <c:xMode val="edge"/>
          <c:yMode val="edge"/>
          <c:x val="0.44274833553607179"/>
          <c:y val="1.0121521891103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36715199125733E-2"/>
          <c:y val="6.0728744939271911E-2"/>
          <c:w val="0.87938996853379781"/>
          <c:h val="0.80566801619433892"/>
        </c:manualLayout>
      </c:layout>
      <c:scatterChart>
        <c:scatterStyle val="lineMarker"/>
        <c:varyColors val="0"/>
        <c:ser>
          <c:idx val="2"/>
          <c:order val="0"/>
          <c:tx>
            <c:v>ENVELOPE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12700">
                <a:solidFill>
                  <a:srgbClr val="3333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57-4F0B-943C-0D213E940F1D}"/>
              </c:ext>
            </c:extLst>
          </c:dPt>
          <c:dPt>
            <c:idx val="6"/>
            <c:bubble3D val="0"/>
            <c:spPr>
              <a:ln w="12700">
                <a:solidFill>
                  <a:srgbClr val="FF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1357-4F0B-943C-0D213E940F1D}"/>
              </c:ext>
            </c:extLst>
          </c:dPt>
          <c:dPt>
            <c:idx val="7"/>
            <c:bubble3D val="0"/>
            <c:spPr>
              <a:ln w="12700">
                <a:solidFill>
                  <a:srgbClr val="3333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57-4F0B-943C-0D213E940F1D}"/>
              </c:ext>
            </c:extLst>
          </c:dPt>
          <c:dPt>
            <c:idx val="8"/>
            <c:bubble3D val="0"/>
            <c:spPr>
              <a:ln w="127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57-4F0B-943C-0D213E940F1D}"/>
              </c:ext>
            </c:extLst>
          </c:dPt>
          <c:xVal>
            <c:numRef>
              <c:f>Specs!$K$3:$K$11</c:f>
              <c:numCache>
                <c:formatCode>General</c:formatCode>
                <c:ptCount val="9"/>
                <c:pt idx="0">
                  <c:v>82</c:v>
                </c:pt>
                <c:pt idx="1">
                  <c:v>82</c:v>
                </c:pt>
                <c:pt idx="2">
                  <c:v>90.6</c:v>
                </c:pt>
                <c:pt idx="3">
                  <c:v>94</c:v>
                </c:pt>
                <c:pt idx="4">
                  <c:v>94</c:v>
                </c:pt>
                <c:pt idx="5">
                  <c:v>94</c:v>
                </c:pt>
                <c:pt idx="6">
                  <c:v>86.5</c:v>
                </c:pt>
                <c:pt idx="7">
                  <c:v>89</c:v>
                </c:pt>
                <c:pt idx="8">
                  <c:v>94</c:v>
                </c:pt>
              </c:numCache>
            </c:numRef>
          </c:xVal>
          <c:yVal>
            <c:numRef>
              <c:f>Specs!$L$3:$L$11</c:f>
              <c:numCache>
                <c:formatCode>General</c:formatCode>
                <c:ptCount val="9"/>
                <c:pt idx="0">
                  <c:v>2200</c:v>
                </c:pt>
                <c:pt idx="1">
                  <c:v>3400</c:v>
                </c:pt>
                <c:pt idx="2">
                  <c:v>4570</c:v>
                </c:pt>
                <c:pt idx="3">
                  <c:v>4570</c:v>
                </c:pt>
                <c:pt idx="4">
                  <c:v>2200</c:v>
                </c:pt>
                <c:pt idx="5">
                  <c:v>4000</c:v>
                </c:pt>
                <c:pt idx="6">
                  <c:v>4000</c:v>
                </c:pt>
                <c:pt idx="7">
                  <c:v>4342</c:v>
                </c:pt>
                <c:pt idx="8">
                  <c:v>4342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357-4F0B-943C-0D213E940F1D}"/>
            </c:ext>
          </c:extLst>
        </c:ser>
        <c:ser>
          <c:idx val="9"/>
          <c:order val="1"/>
          <c:tx>
            <c:v>T/O</c:v>
          </c:tx>
          <c:spPr>
            <a:ln w="3175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0.5</c:v>
                </c:pt>
              </c:numLit>
            </c:plus>
            <c:minus>
              <c:numLit>
                <c:formatCode>General</c:formatCode>
                <c:ptCount val="1"/>
                <c:pt idx="0">
                  <c:v>0.5</c:v>
                </c:pt>
              </c:numLit>
            </c:minus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xVal>
            <c:numRef>
              <c:f>'39522'!$E$23:$E$24</c:f>
              <c:numCache>
                <c:formatCode>0.00\ </c:formatCode>
                <c:ptCount val="2"/>
                <c:pt idx="0">
                  <c:v>90.032857771046068</c:v>
                </c:pt>
              </c:numCache>
            </c:numRef>
          </c:xVal>
          <c:yVal>
            <c:numRef>
              <c:f>'39522'!$D$19</c:f>
              <c:numCache>
                <c:formatCode>[Red][&gt;4570]#,##0\ \ ;[Black]#,##0\ \ </c:formatCode>
                <c:ptCount val="1"/>
                <c:pt idx="0">
                  <c:v>4261.3999999999996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357-4F0B-943C-0D213E940F1D}"/>
            </c:ext>
          </c:extLst>
        </c:ser>
        <c:ser>
          <c:idx val="0"/>
          <c:order val="2"/>
          <c:tx>
            <c:v>LDG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'39522'!$E$23:$E$24</c:f>
              <c:numCache>
                <c:formatCode>0.00\ </c:formatCode>
                <c:ptCount val="2"/>
                <c:pt idx="0">
                  <c:v>90.032857771046068</c:v>
                </c:pt>
              </c:numCache>
            </c:numRef>
          </c:xVal>
          <c:yVal>
            <c:numRef>
              <c:f>'39522'!$D$23</c:f>
              <c:numCache>
                <c:formatCode>[Red][&gt;5400]#,##0\ \ ;[Black]#,##0\ \ </c:formatCode>
                <c:ptCount val="1"/>
                <c:pt idx="0">
                  <c:v>4093.4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357-4F0B-943C-0D213E940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847040"/>
        <c:axId val="388849392"/>
      </c:scatterChart>
      <c:valAx>
        <c:axId val="388847040"/>
        <c:scaling>
          <c:orientation val="minMax"/>
          <c:max val="96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Arm</a:t>
                </a:r>
              </a:p>
            </c:rich>
          </c:tx>
          <c:layout>
            <c:manualLayout>
              <c:xMode val="edge"/>
              <c:yMode val="edge"/>
              <c:x val="0.51603081972909404"/>
              <c:y val="0.906882542792198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849392"/>
        <c:crossesAt val="1000"/>
        <c:crossBetween val="midCat"/>
        <c:majorUnit val="2"/>
        <c:minorUnit val="2"/>
      </c:valAx>
      <c:valAx>
        <c:axId val="388849392"/>
        <c:scaling>
          <c:orientation val="minMax"/>
          <c:max val="4600"/>
          <c:min val="22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
</a:t>
                </a:r>
              </a:p>
            </c:rich>
          </c:tx>
          <c:layout>
            <c:manualLayout>
              <c:xMode val="edge"/>
              <c:yMode val="edge"/>
              <c:x val="7.6335759448508834E-3"/>
              <c:y val="0.414979676583491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847040"/>
        <c:crossesAt val="50"/>
        <c:crossBetween val="midCat"/>
        <c:majorUnit val="200"/>
        <c:minorUnit val="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663316779349033"/>
          <c:y val="0.94934187365682676"/>
          <c:w val="0.48034289381395839"/>
          <c:h val="4.38771454211133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44" r="0.75000000000000544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15</xdr:col>
      <xdr:colOff>238125</xdr:colOff>
      <xdr:row>18</xdr:row>
      <xdr:rowOff>0</xdr:rowOff>
    </xdr:to>
    <xdr:graphicFrame macro="">
      <xdr:nvGraphicFramePr>
        <xdr:cNvPr id="291855" name="Chart 1">
          <a:extLst>
            <a:ext uri="{FF2B5EF4-FFF2-40B4-BE49-F238E27FC236}">
              <a16:creationId xmlns:a16="http://schemas.microsoft.com/office/drawing/2014/main" id="{00000000-0008-0000-0000-00000F74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15</xdr:col>
      <xdr:colOff>238125</xdr:colOff>
      <xdr:row>18</xdr:row>
      <xdr:rowOff>0</xdr:rowOff>
    </xdr:to>
    <xdr:graphicFrame macro="">
      <xdr:nvGraphicFramePr>
        <xdr:cNvPr id="46102" name="Chart 1">
          <a:extLst>
            <a:ext uri="{FF2B5EF4-FFF2-40B4-BE49-F238E27FC236}">
              <a16:creationId xmlns:a16="http://schemas.microsoft.com/office/drawing/2014/main" id="{00000000-0008-0000-0100-000016B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15</xdr:col>
      <xdr:colOff>238125</xdr:colOff>
      <xdr:row>18</xdr:row>
      <xdr:rowOff>0</xdr:rowOff>
    </xdr:to>
    <xdr:graphicFrame macro="">
      <xdr:nvGraphicFramePr>
        <xdr:cNvPr id="54294" name="Chart 1">
          <a:extLst>
            <a:ext uri="{FF2B5EF4-FFF2-40B4-BE49-F238E27FC236}">
              <a16:creationId xmlns:a16="http://schemas.microsoft.com/office/drawing/2014/main" id="{00000000-0008-0000-0200-000016D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276226</xdr:colOff>
      <xdr:row>0</xdr:row>
      <xdr:rowOff>247650</xdr:rowOff>
    </xdr:from>
    <xdr:to>
      <xdr:col>15</xdr:col>
      <xdr:colOff>514350</xdr:colOff>
      <xdr:row>14</xdr:row>
      <xdr:rowOff>266700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7F9B0E-5864-46E9-B57D-4580EF336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14</xdr:col>
      <xdr:colOff>333375</xdr:colOff>
      <xdr:row>18</xdr:row>
      <xdr:rowOff>0</xdr:rowOff>
    </xdr:to>
    <xdr:graphicFrame macro="">
      <xdr:nvGraphicFramePr>
        <xdr:cNvPr id="19478" name="Chart 1">
          <a:extLst>
            <a:ext uri="{FF2B5EF4-FFF2-40B4-BE49-F238E27FC236}">
              <a16:creationId xmlns:a16="http://schemas.microsoft.com/office/drawing/2014/main" id="{00000000-0008-0000-0400-000016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15</xdr:col>
      <xdr:colOff>238125</xdr:colOff>
      <xdr:row>20</xdr:row>
      <xdr:rowOff>0</xdr:rowOff>
    </xdr:to>
    <xdr:graphicFrame macro="">
      <xdr:nvGraphicFramePr>
        <xdr:cNvPr id="65581" name="Chart 1">
          <a:extLst>
            <a:ext uri="{FF2B5EF4-FFF2-40B4-BE49-F238E27FC236}">
              <a16:creationId xmlns:a16="http://schemas.microsoft.com/office/drawing/2014/main" id="{00000000-0008-0000-0500-00002D0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603885</xdr:colOff>
      <xdr:row>3</xdr:row>
      <xdr:rowOff>49530</xdr:rowOff>
    </xdr:from>
    <xdr:to>
      <xdr:col>12</xdr:col>
      <xdr:colOff>312439</xdr:colOff>
      <xdr:row>4</xdr:row>
      <xdr:rowOff>66718</xdr:rowOff>
    </xdr:to>
    <xdr:sp macro="" textlink="">
      <xdr:nvSpPr>
        <xdr:cNvPr id="65539" name="AutoShape 3">
          <a:extLst>
            <a:ext uri="{FF2B5EF4-FFF2-40B4-BE49-F238E27FC236}">
              <a16:creationId xmlns:a16="http://schemas.microsoft.com/office/drawing/2014/main" id="{00000000-0008-0000-0500-000003000100}"/>
            </a:ext>
          </a:extLst>
        </xdr:cNvPr>
        <xdr:cNvSpPr>
          <a:spLocks noChangeArrowheads="1"/>
        </xdr:cNvSpPr>
      </xdr:nvSpPr>
      <xdr:spPr bwMode="auto">
        <a:xfrm>
          <a:off x="6096000" y="714375"/>
          <a:ext cx="1495425" cy="333375"/>
        </a:xfrm>
        <a:prstGeom prst="rightArrow">
          <a:avLst>
            <a:gd name="adj1" fmla="val 50000"/>
            <a:gd name="adj2" fmla="val 112143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MAX LANDING WT 2950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16</xdr:col>
      <xdr:colOff>400050</xdr:colOff>
      <xdr:row>25</xdr:row>
      <xdr:rowOff>0</xdr:rowOff>
    </xdr:to>
    <xdr:graphicFrame macro="">
      <xdr:nvGraphicFramePr>
        <xdr:cNvPr id="55320" name="Chart 1">
          <a:extLst>
            <a:ext uri="{FF2B5EF4-FFF2-40B4-BE49-F238E27FC236}">
              <a16:creationId xmlns:a16="http://schemas.microsoft.com/office/drawing/2014/main" id="{00000000-0008-0000-0600-000018D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0.34293</cdr:x>
      <cdr:y>0.14605</cdr:y>
    </cdr:from>
    <cdr:to>
      <cdr:x>0.57927</cdr:x>
      <cdr:y>0.14605</cdr:y>
    </cdr:to>
    <cdr:sp macro="" textlink="" fLocksText="0">
      <cdr:nvSpPr>
        <cdr:cNvPr id="563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59792" y="691773"/>
          <a:ext cx="14706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round/>
          <a:headEnd/>
          <a:tailEnd type="triangl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0.10659</cdr:x>
      <cdr:y>0.12743</cdr:y>
    </cdr:from>
    <cdr:to>
      <cdr:x>0.36829</cdr:x>
      <cdr:y>0.16614</cdr:y>
    </cdr:to>
    <cdr:sp macro="" textlink="">
      <cdr:nvSpPr>
        <cdr:cNvPr id="56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189" y="604000"/>
          <a:ext cx="1629047" cy="181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MAX LANDING WT 4342</a:t>
          </a:r>
        </a:p>
      </cdr:txBody>
    </cdr:sp>
  </cdr:relSizeAnchor>
  <cdr:relSizeAnchor xmlns:cdr="http://schemas.openxmlformats.org/drawingml/2006/chartDrawing">
    <cdr:from>
      <cdr:x>0.30921</cdr:x>
      <cdr:y>0.26142</cdr:y>
    </cdr:from>
    <cdr:to>
      <cdr:x>0.44239</cdr:x>
      <cdr:y>0.26142</cdr:y>
    </cdr:to>
    <cdr:sp macro="" textlink="" fLocksText="0">
      <cdr:nvSpPr>
        <cdr:cNvPr id="5632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950585" y="1233424"/>
          <a:ext cx="82913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dash"/>
          <a:round/>
          <a:headEnd/>
          <a:tailEnd type="triangl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0.10659</cdr:x>
      <cdr:y>0.24305</cdr:y>
    </cdr:from>
    <cdr:to>
      <cdr:x>0.31955</cdr:x>
      <cdr:y>0.28151</cdr:y>
    </cdr:to>
    <cdr:sp macro="" textlink="">
      <cdr:nvSpPr>
        <cdr:cNvPr id="56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189" y="1146806"/>
          <a:ext cx="1324466" cy="181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ZERO FUEL WT 4000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F%20W&amp;B%20N98637%20FLOATS%20(JUN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637 (C.G.)"/>
      <sheetName val="Specs"/>
    </sheetNames>
    <sheetDataSet>
      <sheetData sheetId="0">
        <row r="11">
          <cell r="C11">
            <v>2337.4</v>
          </cell>
          <cell r="D11">
            <v>42.712821938906472</v>
          </cell>
        </row>
        <row r="13">
          <cell r="C13">
            <v>2157.4</v>
          </cell>
          <cell r="D13">
            <v>42.271692778344303</v>
          </cell>
        </row>
      </sheetData>
      <sheetData sheetId="1">
        <row r="3">
          <cell r="C3">
            <v>36.4</v>
          </cell>
          <cell r="D3">
            <v>1700</v>
          </cell>
          <cell r="E3">
            <v>36</v>
          </cell>
          <cell r="F3">
            <v>2487</v>
          </cell>
        </row>
        <row r="4">
          <cell r="C4">
            <v>36.4</v>
          </cell>
          <cell r="D4">
            <v>1825</v>
          </cell>
          <cell r="E4">
            <v>41.2</v>
          </cell>
          <cell r="F4">
            <v>2487</v>
          </cell>
        </row>
        <row r="5">
          <cell r="C5">
            <v>40.1</v>
          </cell>
          <cell r="D5">
            <v>2312</v>
          </cell>
        </row>
        <row r="6">
          <cell r="C6">
            <v>41.4</v>
          </cell>
          <cell r="D6">
            <v>2487</v>
          </cell>
        </row>
        <row r="7">
          <cell r="C7">
            <v>43.95</v>
          </cell>
          <cell r="D7">
            <v>2487</v>
          </cell>
        </row>
        <row r="8">
          <cell r="C8">
            <v>45.5</v>
          </cell>
          <cell r="D8">
            <v>2312</v>
          </cell>
        </row>
        <row r="9">
          <cell r="C9">
            <v>45.5</v>
          </cell>
          <cell r="D9">
            <v>1700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K25"/>
  <sheetViews>
    <sheetView showGridLines="0" showRowColHeaders="0" zoomScaleNormal="100" workbookViewId="0">
      <selection activeCell="D24" sqref="D24"/>
    </sheetView>
  </sheetViews>
  <sheetFormatPr defaultRowHeight="13.2" x14ac:dyDescent="0.25"/>
  <cols>
    <col min="1" max="1" width="0.88671875" customWidth="1"/>
    <col min="2" max="2" width="12.6640625" customWidth="1"/>
    <col min="3" max="3" width="9.6640625" customWidth="1"/>
    <col min="4" max="4" width="9.109375" style="2" customWidth="1"/>
    <col min="5" max="5" width="7.5546875" style="1" customWidth="1"/>
    <col min="6" max="6" width="11.44140625" style="2" customWidth="1"/>
  </cols>
  <sheetData>
    <row r="1" spans="1:11" s="3" customFormat="1" ht="26.25" customHeight="1" x14ac:dyDescent="0.25">
      <c r="B1" s="94">
        <v>35408</v>
      </c>
      <c r="C1" s="95"/>
      <c r="D1" s="5" t="s">
        <v>0</v>
      </c>
      <c r="E1" s="6" t="s">
        <v>1</v>
      </c>
      <c r="F1" s="5" t="s">
        <v>12</v>
      </c>
      <c r="G1" s="4"/>
      <c r="H1" s="4"/>
      <c r="I1" s="4"/>
      <c r="J1" s="4"/>
      <c r="K1" s="4"/>
    </row>
    <row r="2" spans="1:11" s="3" customFormat="1" ht="12.9" customHeight="1" x14ac:dyDescent="0.25">
      <c r="A2" s="12"/>
      <c r="B2" s="21" t="s">
        <v>2</v>
      </c>
      <c r="C2" s="30"/>
      <c r="D2" s="96">
        <v>1655.5</v>
      </c>
      <c r="E2" s="98">
        <v>39.51</v>
      </c>
      <c r="F2" s="100">
        <v>65.414000000000001</v>
      </c>
      <c r="G2" s="4"/>
      <c r="H2" s="4"/>
      <c r="I2" s="4"/>
      <c r="J2" s="4"/>
      <c r="K2" s="4"/>
    </row>
    <row r="3" spans="1:11" ht="12.9" customHeight="1" x14ac:dyDescent="0.25">
      <c r="A3" s="13"/>
      <c r="B3" s="31" t="s">
        <v>13</v>
      </c>
      <c r="C3" s="32"/>
      <c r="D3" s="97"/>
      <c r="E3" s="99"/>
      <c r="F3" s="101"/>
      <c r="G3" s="9"/>
      <c r="H3" s="9"/>
      <c r="I3" s="9"/>
      <c r="J3" s="9"/>
      <c r="K3" s="9"/>
    </row>
    <row r="4" spans="1:11" ht="26.1" customHeight="1" x14ac:dyDescent="0.25">
      <c r="A4" s="13"/>
      <c r="B4" s="18" t="s">
        <v>19</v>
      </c>
      <c r="C4" s="50">
        <v>30</v>
      </c>
      <c r="D4" s="19">
        <f>C4*6</f>
        <v>180</v>
      </c>
      <c r="E4" s="48">
        <v>4.8000000000000001E-2</v>
      </c>
      <c r="F4" s="28">
        <f>(D4*E4)</f>
        <v>8.64</v>
      </c>
      <c r="G4" s="9"/>
      <c r="H4" s="9"/>
      <c r="I4" s="9"/>
      <c r="J4" s="9"/>
      <c r="K4" s="9"/>
    </row>
    <row r="5" spans="1:11" ht="26.1" customHeight="1" x14ac:dyDescent="0.25">
      <c r="A5" s="13"/>
      <c r="B5" s="44" t="s">
        <v>4</v>
      </c>
      <c r="C5" s="18"/>
      <c r="D5" s="10">
        <v>400</v>
      </c>
      <c r="E5" s="25">
        <v>3.6999999999999998E-2</v>
      </c>
      <c r="F5" s="28">
        <f>(D5*E5)</f>
        <v>14.799999999999999</v>
      </c>
      <c r="G5" s="9"/>
      <c r="H5" s="9"/>
      <c r="I5" s="9"/>
      <c r="J5" s="9"/>
      <c r="K5" s="9"/>
    </row>
    <row r="6" spans="1:11" ht="26.1" customHeight="1" x14ac:dyDescent="0.25">
      <c r="A6" s="13"/>
      <c r="B6" s="45" t="s">
        <v>10</v>
      </c>
      <c r="C6" s="37"/>
      <c r="D6" s="38">
        <v>30</v>
      </c>
      <c r="E6" s="26">
        <v>7.2999999999999995E-2</v>
      </c>
      <c r="F6" s="28">
        <f>(D6*E6)</f>
        <v>2.19</v>
      </c>
      <c r="G6" s="9"/>
      <c r="H6" s="9"/>
      <c r="I6" s="9"/>
      <c r="J6" s="9"/>
      <c r="K6" s="9"/>
    </row>
    <row r="7" spans="1:11" ht="12.9" customHeight="1" x14ac:dyDescent="0.25">
      <c r="A7" s="102"/>
      <c r="B7" s="39" t="s">
        <v>14</v>
      </c>
      <c r="C7" s="39"/>
      <c r="D7" s="104">
        <v>16</v>
      </c>
      <c r="E7" s="106">
        <v>9.5000000000000001E-2</v>
      </c>
      <c r="F7" s="108">
        <f>(D7*E7)</f>
        <v>1.52</v>
      </c>
      <c r="G7" s="9"/>
      <c r="H7" s="9"/>
      <c r="I7" s="9"/>
      <c r="J7" s="9"/>
      <c r="K7" s="9"/>
    </row>
    <row r="8" spans="1:11" ht="12.9" customHeight="1" x14ac:dyDescent="0.25">
      <c r="A8" s="103"/>
      <c r="B8" s="110" t="s">
        <v>15</v>
      </c>
      <c r="C8" s="111"/>
      <c r="D8" s="105"/>
      <c r="E8" s="107"/>
      <c r="F8" s="109"/>
      <c r="G8" s="9"/>
      <c r="H8" s="9"/>
      <c r="I8" s="9"/>
      <c r="J8" s="9"/>
      <c r="K8" s="9"/>
    </row>
    <row r="9" spans="1:11" ht="26.1" customHeight="1" x14ac:dyDescent="0.25">
      <c r="A9" s="22"/>
      <c r="B9" s="116" t="s">
        <v>56</v>
      </c>
      <c r="C9" s="117"/>
      <c r="D9" s="40">
        <v>0</v>
      </c>
      <c r="E9" s="43">
        <v>0.123</v>
      </c>
      <c r="F9" s="29">
        <f>(D9*E9)</f>
        <v>0</v>
      </c>
      <c r="G9" s="9"/>
      <c r="H9" s="9"/>
      <c r="I9" s="9"/>
      <c r="J9" s="9"/>
      <c r="K9" s="9"/>
    </row>
    <row r="10" spans="1:11" ht="12.9" customHeight="1" x14ac:dyDescent="0.25">
      <c r="A10" s="118"/>
      <c r="B10" s="45" t="s">
        <v>5</v>
      </c>
      <c r="C10" s="33"/>
      <c r="D10" s="112">
        <f>SUM(D2:D9)</f>
        <v>2281.5</v>
      </c>
      <c r="E10" s="114">
        <f>(F10/D10)*1000</f>
        <v>40.571553802323031</v>
      </c>
      <c r="F10" s="108">
        <f>SUM(F2:F9)</f>
        <v>92.563999999999993</v>
      </c>
      <c r="G10" s="9"/>
      <c r="H10" s="9"/>
      <c r="I10" s="9"/>
      <c r="J10" s="9"/>
      <c r="K10" s="9"/>
    </row>
    <row r="11" spans="1:11" ht="12.9" customHeight="1" x14ac:dyDescent="0.25">
      <c r="A11" s="119"/>
      <c r="B11" s="46" t="s">
        <v>18</v>
      </c>
      <c r="C11" s="35"/>
      <c r="D11" s="113"/>
      <c r="E11" s="115"/>
      <c r="F11" s="120"/>
      <c r="G11" s="9"/>
      <c r="H11" s="9"/>
      <c r="I11" s="9"/>
      <c r="J11" s="9"/>
      <c r="K11" s="9"/>
    </row>
    <row r="12" spans="1:11" ht="26.1" customHeight="1" x14ac:dyDescent="0.25">
      <c r="A12" s="22"/>
      <c r="B12" s="47" t="s">
        <v>6</v>
      </c>
      <c r="C12" s="15">
        <v>1.1000000000000001</v>
      </c>
      <c r="D12" s="20">
        <f>-C12*6</f>
        <v>-6.6000000000000005</v>
      </c>
      <c r="E12" s="27">
        <f>E4</f>
        <v>4.8000000000000001E-2</v>
      </c>
      <c r="F12" s="29">
        <f>(D12*E12)/1000</f>
        <v>-3.168E-4</v>
      </c>
      <c r="G12" s="9"/>
      <c r="H12" s="9"/>
      <c r="I12" s="9"/>
      <c r="J12" s="9"/>
      <c r="K12" s="9"/>
    </row>
    <row r="13" spans="1:11" ht="12.9" customHeight="1" x14ac:dyDescent="0.25">
      <c r="A13" s="23"/>
      <c r="B13" s="45" t="s">
        <v>7</v>
      </c>
      <c r="C13" s="33"/>
      <c r="D13" s="112">
        <f>D10+D12</f>
        <v>2274.9</v>
      </c>
      <c r="E13" s="114">
        <f>(F13/D13)*1000</f>
        <v>40.689121807551977</v>
      </c>
      <c r="F13" s="108">
        <f>F10+F12</f>
        <v>92.5636832</v>
      </c>
      <c r="G13" s="9"/>
      <c r="H13" s="9"/>
      <c r="I13" s="9"/>
      <c r="J13" s="9"/>
      <c r="K13" s="9"/>
    </row>
    <row r="14" spans="1:11" ht="12.9" customHeight="1" x14ac:dyDescent="0.25">
      <c r="A14" s="24"/>
      <c r="B14" s="46" t="s">
        <v>18</v>
      </c>
      <c r="C14" s="35"/>
      <c r="D14" s="113"/>
      <c r="E14" s="115"/>
      <c r="F14" s="120"/>
      <c r="G14" s="9"/>
      <c r="H14" s="9"/>
      <c r="I14" s="9"/>
      <c r="J14" s="9"/>
      <c r="K14" s="9"/>
    </row>
    <row r="15" spans="1:11" x14ac:dyDescent="0.25">
      <c r="A15" s="23"/>
      <c r="B15" s="121" t="s">
        <v>8</v>
      </c>
      <c r="C15" s="123">
        <v>33</v>
      </c>
      <c r="D15" s="125">
        <f>C15*6</f>
        <v>198</v>
      </c>
      <c r="E15" s="114">
        <v>0.05</v>
      </c>
      <c r="F15" s="108">
        <f>D15*E15</f>
        <v>9.9</v>
      </c>
      <c r="G15" s="9"/>
      <c r="H15" s="9"/>
      <c r="I15" s="9"/>
      <c r="J15" s="9"/>
      <c r="K15" s="9"/>
    </row>
    <row r="16" spans="1:11" x14ac:dyDescent="0.25">
      <c r="A16" s="24"/>
      <c r="B16" s="122"/>
      <c r="C16" s="124"/>
      <c r="D16" s="126"/>
      <c r="E16" s="115"/>
      <c r="F16" s="120"/>
      <c r="G16" s="14"/>
      <c r="H16" s="9"/>
      <c r="I16" s="9"/>
      <c r="J16" s="9"/>
      <c r="K16" s="9"/>
    </row>
    <row r="17" spans="1:11" x14ac:dyDescent="0.25">
      <c r="A17" s="23"/>
      <c r="B17" s="45" t="s">
        <v>9</v>
      </c>
      <c r="C17" s="33"/>
      <c r="D17" s="112">
        <f>D2+D5+D6+D7+D8+D9+D15</f>
        <v>2299.5</v>
      </c>
      <c r="E17" s="114">
        <f>(F17/D17)*1000</f>
        <v>40.801913459447704</v>
      </c>
      <c r="F17" s="96">
        <f>F2+F5+F6+F7+F9+F15</f>
        <v>93.823999999999998</v>
      </c>
      <c r="G17" s="9"/>
      <c r="H17" s="9"/>
      <c r="I17" s="9"/>
      <c r="J17" s="9"/>
      <c r="K17" s="9"/>
    </row>
    <row r="18" spans="1:11" x14ac:dyDescent="0.25">
      <c r="A18" s="24"/>
      <c r="B18" s="46" t="s">
        <v>18</v>
      </c>
      <c r="C18" s="35"/>
      <c r="D18" s="113"/>
      <c r="E18" s="115"/>
      <c r="F18" s="97"/>
    </row>
    <row r="19" spans="1:11" x14ac:dyDescent="0.25">
      <c r="B19" s="9" t="s">
        <v>16</v>
      </c>
      <c r="C19" s="9"/>
      <c r="D19" s="16"/>
      <c r="E19" s="9"/>
      <c r="F19" s="9"/>
    </row>
    <row r="20" spans="1:11" x14ac:dyDescent="0.25">
      <c r="B20" s="7" t="s">
        <v>17</v>
      </c>
      <c r="C20" s="8"/>
      <c r="D20" s="9"/>
      <c r="E20" s="9"/>
      <c r="F20" s="7"/>
    </row>
    <row r="21" spans="1:11" x14ac:dyDescent="0.25">
      <c r="B21" s="7"/>
      <c r="C21" s="8"/>
      <c r="D21" s="9"/>
      <c r="E21" s="9"/>
      <c r="F21" s="8"/>
    </row>
    <row r="22" spans="1:11" x14ac:dyDescent="0.25">
      <c r="B22" s="9"/>
      <c r="C22" s="70" t="s">
        <v>52</v>
      </c>
      <c r="D22" s="71"/>
      <c r="E22" s="71"/>
      <c r="F22" s="71"/>
      <c r="G22" s="72"/>
      <c r="H22" s="70"/>
      <c r="I22" s="70"/>
      <c r="J22" s="70"/>
      <c r="K22" s="70"/>
    </row>
    <row r="23" spans="1:11" x14ac:dyDescent="0.25">
      <c r="B23" s="7"/>
      <c r="C23" s="73" t="s">
        <v>51</v>
      </c>
      <c r="D23" s="71"/>
      <c r="E23" s="71"/>
      <c r="F23" s="72"/>
      <c r="G23" s="72"/>
      <c r="H23" s="70"/>
      <c r="I23" s="70"/>
      <c r="J23" s="70"/>
      <c r="K23" s="70"/>
    </row>
    <row r="24" spans="1:11" x14ac:dyDescent="0.25">
      <c r="B24" s="7"/>
      <c r="C24" s="9"/>
      <c r="D24" s="8"/>
      <c r="E24" s="9"/>
      <c r="F24" s="8"/>
      <c r="G24" s="81"/>
    </row>
    <row r="25" spans="1:11" x14ac:dyDescent="0.25">
      <c r="B25" s="9"/>
      <c r="C25" s="9"/>
      <c r="D25" s="8"/>
      <c r="E25" s="7"/>
      <c r="F25" s="8"/>
    </row>
  </sheetData>
  <mergeCells count="25">
    <mergeCell ref="D17:D18"/>
    <mergeCell ref="E17:E18"/>
    <mergeCell ref="F17:F18"/>
    <mergeCell ref="B9:C9"/>
    <mergeCell ref="A10:A11"/>
    <mergeCell ref="D10:D11"/>
    <mergeCell ref="E10:E11"/>
    <mergeCell ref="F10:F11"/>
    <mergeCell ref="D13:D14"/>
    <mergeCell ref="E13:E14"/>
    <mergeCell ref="F13:F14"/>
    <mergeCell ref="B15:B16"/>
    <mergeCell ref="C15:C16"/>
    <mergeCell ref="D15:D16"/>
    <mergeCell ref="E15:E16"/>
    <mergeCell ref="F15:F16"/>
    <mergeCell ref="B1:C1"/>
    <mergeCell ref="D2:D3"/>
    <mergeCell ref="E2:E3"/>
    <mergeCell ref="F2:F3"/>
    <mergeCell ref="A7:A8"/>
    <mergeCell ref="D7:D8"/>
    <mergeCell ref="E7:E8"/>
    <mergeCell ref="F7:F8"/>
    <mergeCell ref="B8:C8"/>
  </mergeCells>
  <printOptions horizontalCentered="1"/>
  <pageMargins left="0.75" right="0.75" top="1" bottom="1" header="0.5" footer="0.5"/>
  <pageSetup scale="84" orientation="landscape" blackAndWhite="1" horizontalDpi="300" verticalDpi="300" r:id="rId1"/>
  <headerFooter alignWithMargins="0">
    <oddHeader>&amp;C&amp;20&amp;A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K25"/>
  <sheetViews>
    <sheetView showGridLines="0" showRowColHeaders="0" zoomScaleNormal="100" workbookViewId="0">
      <selection activeCell="K21" sqref="K21"/>
    </sheetView>
  </sheetViews>
  <sheetFormatPr defaultRowHeight="13.2" x14ac:dyDescent="0.25"/>
  <cols>
    <col min="1" max="1" width="0.88671875" customWidth="1"/>
    <col min="2" max="2" width="12.6640625" customWidth="1"/>
    <col min="3" max="3" width="9.6640625" customWidth="1"/>
    <col min="4" max="4" width="9.109375" style="2" customWidth="1"/>
    <col min="5" max="5" width="7.5546875" style="1" customWidth="1"/>
    <col min="6" max="6" width="11.44140625" style="2" customWidth="1"/>
  </cols>
  <sheetData>
    <row r="1" spans="1:11" s="3" customFormat="1" ht="26.25" customHeight="1" x14ac:dyDescent="0.25">
      <c r="B1" s="94" t="s">
        <v>20</v>
      </c>
      <c r="C1" s="95"/>
      <c r="D1" s="5" t="s">
        <v>0</v>
      </c>
      <c r="E1" s="6" t="s">
        <v>1</v>
      </c>
      <c r="F1" s="5" t="s">
        <v>12</v>
      </c>
      <c r="G1" s="4"/>
      <c r="H1" s="4"/>
      <c r="I1" s="4"/>
      <c r="J1" s="4"/>
      <c r="K1" s="4"/>
    </row>
    <row r="2" spans="1:11" s="3" customFormat="1" ht="12.9" customHeight="1" x14ac:dyDescent="0.25">
      <c r="A2" s="12"/>
      <c r="B2" s="21" t="s">
        <v>2</v>
      </c>
      <c r="C2" s="30"/>
      <c r="D2" s="96">
        <v>1697.8</v>
      </c>
      <c r="E2" s="98">
        <v>38.53</v>
      </c>
      <c r="F2" s="100">
        <v>65.414000000000001</v>
      </c>
      <c r="G2" s="4"/>
      <c r="H2" s="4"/>
      <c r="I2" s="4"/>
      <c r="J2" s="4"/>
      <c r="K2" s="4"/>
    </row>
    <row r="3" spans="1:11" ht="12.9" customHeight="1" x14ac:dyDescent="0.25">
      <c r="A3" s="13"/>
      <c r="B3" s="31" t="s">
        <v>13</v>
      </c>
      <c r="C3" s="32"/>
      <c r="D3" s="97"/>
      <c r="E3" s="99"/>
      <c r="F3" s="101"/>
      <c r="G3" s="9"/>
      <c r="H3" s="9"/>
      <c r="I3" s="9"/>
      <c r="J3" s="9"/>
      <c r="K3" s="9"/>
    </row>
    <row r="4" spans="1:11" ht="26.1" customHeight="1" x14ac:dyDescent="0.25">
      <c r="A4" s="13"/>
      <c r="B4" s="18" t="s">
        <v>19</v>
      </c>
      <c r="C4" s="50">
        <v>40</v>
      </c>
      <c r="D4" s="19">
        <f>C4*6</f>
        <v>240</v>
      </c>
      <c r="E4" s="48">
        <v>4.8000000000000001E-2</v>
      </c>
      <c r="F4" s="28">
        <f>(D4*E4)</f>
        <v>11.52</v>
      </c>
      <c r="G4" s="9"/>
      <c r="H4" s="9"/>
      <c r="I4" s="9"/>
      <c r="J4" s="9"/>
      <c r="K4" s="9"/>
    </row>
    <row r="5" spans="1:11" ht="26.1" customHeight="1" x14ac:dyDescent="0.25">
      <c r="A5" s="13"/>
      <c r="B5" s="44" t="s">
        <v>4</v>
      </c>
      <c r="C5" s="18"/>
      <c r="D5" s="10">
        <v>400</v>
      </c>
      <c r="E5" s="25">
        <v>3.6999999999999998E-2</v>
      </c>
      <c r="F5" s="28">
        <f>(D5*E5)</f>
        <v>14.799999999999999</v>
      </c>
      <c r="G5" s="9"/>
      <c r="H5" s="9"/>
      <c r="I5" s="9"/>
      <c r="J5" s="9"/>
      <c r="K5" s="9"/>
    </row>
    <row r="6" spans="1:11" ht="26.1" customHeight="1" x14ac:dyDescent="0.25">
      <c r="A6" s="13"/>
      <c r="B6" s="45" t="s">
        <v>10</v>
      </c>
      <c r="C6" s="37"/>
      <c r="D6" s="38">
        <v>35</v>
      </c>
      <c r="E6" s="26">
        <v>7.2999999999999995E-2</v>
      </c>
      <c r="F6" s="28">
        <f>(D6*E6)</f>
        <v>2.5549999999999997</v>
      </c>
      <c r="G6" s="9"/>
      <c r="H6" s="9"/>
      <c r="I6" s="9"/>
      <c r="J6" s="9"/>
      <c r="K6" s="9"/>
    </row>
    <row r="7" spans="1:11" ht="12.9" customHeight="1" x14ac:dyDescent="0.25">
      <c r="A7" s="102"/>
      <c r="B7" s="39" t="s">
        <v>14</v>
      </c>
      <c r="C7" s="39"/>
      <c r="D7" s="104">
        <v>16</v>
      </c>
      <c r="E7" s="106">
        <v>9.5000000000000001E-2</v>
      </c>
      <c r="F7" s="108">
        <f>(D7*E7)</f>
        <v>1.52</v>
      </c>
      <c r="G7" s="9"/>
      <c r="H7" s="9"/>
      <c r="I7" s="9"/>
      <c r="J7" s="9"/>
      <c r="K7" s="9"/>
    </row>
    <row r="8" spans="1:11" ht="12.9" customHeight="1" x14ac:dyDescent="0.25">
      <c r="A8" s="103"/>
      <c r="B8" s="110" t="s">
        <v>15</v>
      </c>
      <c r="C8" s="111"/>
      <c r="D8" s="105"/>
      <c r="E8" s="107"/>
      <c r="F8" s="109"/>
      <c r="G8" s="9"/>
      <c r="H8" s="9"/>
      <c r="I8" s="9"/>
      <c r="J8" s="9"/>
      <c r="K8" s="9"/>
    </row>
    <row r="9" spans="1:11" ht="26.1" customHeight="1" x14ac:dyDescent="0.25">
      <c r="A9" s="22"/>
      <c r="B9" s="116" t="s">
        <v>56</v>
      </c>
      <c r="C9" s="117"/>
      <c r="D9" s="40">
        <v>0</v>
      </c>
      <c r="E9" s="43">
        <v>0.123</v>
      </c>
      <c r="F9" s="29">
        <f>(D9*E9)</f>
        <v>0</v>
      </c>
      <c r="G9" s="9"/>
      <c r="H9" s="9"/>
      <c r="I9" s="9"/>
      <c r="J9" s="9"/>
      <c r="K9" s="9"/>
    </row>
    <row r="10" spans="1:11" ht="12.9" customHeight="1" x14ac:dyDescent="0.25">
      <c r="A10" s="118"/>
      <c r="B10" s="45" t="s">
        <v>5</v>
      </c>
      <c r="C10" s="33"/>
      <c r="D10" s="112">
        <f>SUM(D2:D9)</f>
        <v>2388.8000000000002</v>
      </c>
      <c r="E10" s="114">
        <f>(F10/D10)*1000</f>
        <v>40.107585398526446</v>
      </c>
      <c r="F10" s="108">
        <f>SUM(F2:F9)</f>
        <v>95.808999999999983</v>
      </c>
      <c r="G10" s="9"/>
      <c r="H10" s="9"/>
      <c r="I10" s="9"/>
      <c r="J10" s="9"/>
      <c r="K10" s="9"/>
    </row>
    <row r="11" spans="1:11" ht="12.9" customHeight="1" x14ac:dyDescent="0.25">
      <c r="A11" s="119"/>
      <c r="B11" s="46" t="s">
        <v>18</v>
      </c>
      <c r="C11" s="35"/>
      <c r="D11" s="113"/>
      <c r="E11" s="115"/>
      <c r="F11" s="120"/>
      <c r="G11" s="9"/>
      <c r="H11" s="9"/>
      <c r="I11" s="9"/>
      <c r="J11" s="9"/>
      <c r="K11" s="9"/>
    </row>
    <row r="12" spans="1:11" ht="26.1" customHeight="1" x14ac:dyDescent="0.25">
      <c r="A12" s="22"/>
      <c r="B12" s="47" t="s">
        <v>6</v>
      </c>
      <c r="C12" s="15">
        <v>1.1000000000000001</v>
      </c>
      <c r="D12" s="20">
        <f>-C12*6</f>
        <v>-6.6000000000000005</v>
      </c>
      <c r="E12" s="27">
        <f>E4</f>
        <v>4.8000000000000001E-2</v>
      </c>
      <c r="F12" s="29">
        <f>(D12*E12)/1000</f>
        <v>-3.168E-4</v>
      </c>
      <c r="G12" s="9"/>
      <c r="H12" s="9"/>
      <c r="I12" s="9"/>
      <c r="J12" s="9"/>
      <c r="K12" s="9"/>
    </row>
    <row r="13" spans="1:11" ht="12.9" customHeight="1" x14ac:dyDescent="0.25">
      <c r="A13" s="23"/>
      <c r="B13" s="45" t="s">
        <v>7</v>
      </c>
      <c r="C13" s="33"/>
      <c r="D13" s="112">
        <f>D10+D12</f>
        <v>2382.2000000000003</v>
      </c>
      <c r="E13" s="114">
        <f>(F13/D13)*1000</f>
        <v>40.218572412056069</v>
      </c>
      <c r="F13" s="108">
        <f>F10+F12</f>
        <v>95.80868319999999</v>
      </c>
      <c r="G13" s="9"/>
      <c r="H13" s="9"/>
      <c r="I13" s="9"/>
      <c r="J13" s="9"/>
      <c r="K13" s="9"/>
    </row>
    <row r="14" spans="1:11" ht="12.9" customHeight="1" x14ac:dyDescent="0.25">
      <c r="A14" s="24"/>
      <c r="B14" s="46" t="s">
        <v>18</v>
      </c>
      <c r="C14" s="35"/>
      <c r="D14" s="113"/>
      <c r="E14" s="115"/>
      <c r="F14" s="120"/>
      <c r="G14" s="9"/>
      <c r="H14" s="9"/>
      <c r="I14" s="9"/>
      <c r="J14" s="9"/>
      <c r="K14" s="9"/>
    </row>
    <row r="15" spans="1:11" x14ac:dyDescent="0.25">
      <c r="A15" s="23"/>
      <c r="B15" s="121" t="s">
        <v>8</v>
      </c>
      <c r="C15" s="123">
        <v>20</v>
      </c>
      <c r="D15" s="125">
        <f>C15*6</f>
        <v>120</v>
      </c>
      <c r="E15" s="114">
        <v>0.05</v>
      </c>
      <c r="F15" s="108">
        <f>D15*E15</f>
        <v>6</v>
      </c>
      <c r="G15" s="9"/>
      <c r="H15" s="9"/>
      <c r="I15" s="9"/>
      <c r="J15" s="9"/>
      <c r="K15" s="9"/>
    </row>
    <row r="16" spans="1:11" x14ac:dyDescent="0.25">
      <c r="A16" s="24"/>
      <c r="B16" s="122"/>
      <c r="C16" s="124"/>
      <c r="D16" s="126"/>
      <c r="E16" s="115"/>
      <c r="F16" s="120"/>
      <c r="G16" s="14"/>
      <c r="H16" s="9"/>
      <c r="I16" s="9"/>
      <c r="J16" s="9"/>
      <c r="K16" s="9"/>
    </row>
    <row r="17" spans="1:11" x14ac:dyDescent="0.25">
      <c r="A17" s="23"/>
      <c r="B17" s="45" t="s">
        <v>9</v>
      </c>
      <c r="C17" s="33"/>
      <c r="D17" s="112">
        <f>D2+D5+D6+D7+D8+D9+D15</f>
        <v>2268.8000000000002</v>
      </c>
      <c r="E17" s="114">
        <f>(F17/D17)*1000</f>
        <v>39.795927362482367</v>
      </c>
      <c r="F17" s="96">
        <f>F2+F5+F6+F7+F9+F15</f>
        <v>90.289000000000001</v>
      </c>
      <c r="G17" s="9"/>
      <c r="H17" s="9"/>
      <c r="I17" s="9"/>
      <c r="J17" s="9"/>
      <c r="K17" s="9"/>
    </row>
    <row r="18" spans="1:11" x14ac:dyDescent="0.25">
      <c r="A18" s="24"/>
      <c r="B18" s="46" t="s">
        <v>18</v>
      </c>
      <c r="C18" s="35"/>
      <c r="D18" s="113"/>
      <c r="E18" s="115"/>
      <c r="F18" s="97"/>
    </row>
    <row r="19" spans="1:11" x14ac:dyDescent="0.25">
      <c r="B19" s="9" t="s">
        <v>16</v>
      </c>
      <c r="C19" s="9"/>
      <c r="D19" s="16"/>
      <c r="E19" s="9"/>
      <c r="F19" s="9"/>
    </row>
    <row r="20" spans="1:11" x14ac:dyDescent="0.25">
      <c r="B20" s="7" t="s">
        <v>17</v>
      </c>
      <c r="C20" s="8"/>
      <c r="D20" s="9"/>
      <c r="E20" s="9"/>
      <c r="F20" s="7"/>
    </row>
    <row r="21" spans="1:11" x14ac:dyDescent="0.25">
      <c r="B21" s="7"/>
      <c r="C21" s="8"/>
      <c r="D21" s="9"/>
      <c r="E21" s="9"/>
      <c r="F21" s="8"/>
    </row>
    <row r="22" spans="1:11" x14ac:dyDescent="0.25">
      <c r="B22" s="9"/>
      <c r="C22" s="70" t="s">
        <v>52</v>
      </c>
      <c r="D22" s="71"/>
      <c r="E22" s="71"/>
      <c r="F22" s="71"/>
      <c r="G22" s="72"/>
      <c r="H22" s="70"/>
      <c r="I22" s="70"/>
      <c r="J22" s="70"/>
      <c r="K22" s="70"/>
    </row>
    <row r="23" spans="1:11" x14ac:dyDescent="0.25">
      <c r="B23" s="7"/>
      <c r="C23" s="73" t="s">
        <v>51</v>
      </c>
      <c r="D23" s="71"/>
      <c r="E23" s="71"/>
      <c r="F23" s="72"/>
      <c r="G23" s="72"/>
      <c r="H23" s="70"/>
      <c r="I23" s="70"/>
      <c r="J23" s="70"/>
      <c r="K23" s="70"/>
    </row>
    <row r="24" spans="1:11" x14ac:dyDescent="0.25">
      <c r="B24" s="7"/>
      <c r="C24" s="9"/>
      <c r="D24" s="8"/>
      <c r="E24" s="9"/>
      <c r="F24" s="8"/>
      <c r="G24" s="81"/>
    </row>
    <row r="25" spans="1:11" x14ac:dyDescent="0.25">
      <c r="B25" s="9"/>
      <c r="C25" s="9"/>
      <c r="D25" s="8"/>
      <c r="E25" s="7"/>
      <c r="F25" s="8"/>
    </row>
  </sheetData>
  <mergeCells count="25">
    <mergeCell ref="E17:E18"/>
    <mergeCell ref="D15:D16"/>
    <mergeCell ref="E15:E16"/>
    <mergeCell ref="F17:F18"/>
    <mergeCell ref="F13:F14"/>
    <mergeCell ref="D17:D18"/>
    <mergeCell ref="D13:D14"/>
    <mergeCell ref="E13:E14"/>
    <mergeCell ref="B1:C1"/>
    <mergeCell ref="B9:C9"/>
    <mergeCell ref="D2:D3"/>
    <mergeCell ref="F2:F3"/>
    <mergeCell ref="F15:F16"/>
    <mergeCell ref="F7:F8"/>
    <mergeCell ref="F10:F11"/>
    <mergeCell ref="E2:E3"/>
    <mergeCell ref="E7:E8"/>
    <mergeCell ref="D10:D11"/>
    <mergeCell ref="E10:E11"/>
    <mergeCell ref="A7:A8"/>
    <mergeCell ref="B8:C8"/>
    <mergeCell ref="D7:D8"/>
    <mergeCell ref="A10:A11"/>
    <mergeCell ref="B15:B16"/>
    <mergeCell ref="C15:C16"/>
  </mergeCells>
  <phoneticPr fontId="0" type="noConversion"/>
  <printOptions horizontalCentered="1"/>
  <pageMargins left="0.75" right="0.75" top="1" bottom="1" header="0.5" footer="0.5"/>
  <pageSetup scale="86" orientation="landscape" blackAndWhite="1" horizontalDpi="300" verticalDpi="300" r:id="rId1"/>
  <headerFooter alignWithMargins="0">
    <oddHeader>&amp;C&amp;20&amp;A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K25"/>
  <sheetViews>
    <sheetView showGridLines="0" showRowColHeaders="0" workbookViewId="0">
      <selection activeCell="H21" sqref="H21"/>
    </sheetView>
  </sheetViews>
  <sheetFormatPr defaultRowHeight="13.2" x14ac:dyDescent="0.25"/>
  <cols>
    <col min="1" max="1" width="0.88671875" customWidth="1"/>
    <col min="2" max="2" width="12.6640625" customWidth="1"/>
    <col min="3" max="3" width="9.6640625" customWidth="1"/>
    <col min="4" max="4" width="9.109375" style="2" customWidth="1"/>
    <col min="5" max="5" width="7.5546875" style="1" customWidth="1"/>
    <col min="6" max="6" width="11.44140625" style="2" customWidth="1"/>
  </cols>
  <sheetData>
    <row r="1" spans="1:11" s="3" customFormat="1" ht="26.25" customHeight="1" x14ac:dyDescent="0.25">
      <c r="B1" s="94" t="s">
        <v>60</v>
      </c>
      <c r="C1" s="95"/>
      <c r="D1" s="5" t="s">
        <v>0</v>
      </c>
      <c r="E1" s="6" t="s">
        <v>1</v>
      </c>
      <c r="F1" s="5" t="s">
        <v>12</v>
      </c>
      <c r="G1" s="4"/>
      <c r="H1" s="4"/>
      <c r="I1" s="4"/>
      <c r="J1" s="4"/>
      <c r="K1" s="4"/>
    </row>
    <row r="2" spans="1:11" s="3" customFormat="1" ht="12.9" customHeight="1" x14ac:dyDescent="0.25">
      <c r="A2" s="12"/>
      <c r="B2" s="21" t="s">
        <v>2</v>
      </c>
      <c r="C2" s="30"/>
      <c r="D2" s="96">
        <v>1675.78</v>
      </c>
      <c r="E2" s="98">
        <v>38.53</v>
      </c>
      <c r="F2" s="100">
        <v>64.563999999999993</v>
      </c>
      <c r="G2" s="4"/>
      <c r="H2" s="4"/>
      <c r="I2" s="4"/>
      <c r="J2" s="4"/>
      <c r="K2" s="4"/>
    </row>
    <row r="3" spans="1:11" ht="12.9" customHeight="1" x14ac:dyDescent="0.25">
      <c r="A3" s="13"/>
      <c r="B3" s="31" t="s">
        <v>13</v>
      </c>
      <c r="C3" s="32"/>
      <c r="D3" s="97"/>
      <c r="E3" s="99"/>
      <c r="F3" s="101"/>
      <c r="G3" s="9"/>
      <c r="H3" s="9"/>
      <c r="I3" s="9"/>
      <c r="J3" s="9"/>
      <c r="K3" s="9"/>
    </row>
    <row r="4" spans="1:11" ht="26.1" customHeight="1" x14ac:dyDescent="0.25">
      <c r="A4" s="13"/>
      <c r="B4" s="18" t="s">
        <v>19</v>
      </c>
      <c r="C4" s="50">
        <v>53</v>
      </c>
      <c r="D4" s="19">
        <f>C4*6</f>
        <v>318</v>
      </c>
      <c r="E4" s="48">
        <v>4.8000000000000001E-2</v>
      </c>
      <c r="F4" s="28">
        <f>(D4*E4)</f>
        <v>15.264000000000001</v>
      </c>
      <c r="G4" s="9"/>
      <c r="H4" s="9"/>
      <c r="I4" s="9"/>
      <c r="J4" s="9"/>
      <c r="K4" s="9"/>
    </row>
    <row r="5" spans="1:11" ht="26.1" customHeight="1" x14ac:dyDescent="0.25">
      <c r="A5" s="13"/>
      <c r="B5" s="44" t="s">
        <v>4</v>
      </c>
      <c r="C5" s="18"/>
      <c r="D5" s="10">
        <v>120</v>
      </c>
      <c r="E5" s="25">
        <v>3.6999999999999998E-2</v>
      </c>
      <c r="F5" s="28">
        <f>(D5*E5)</f>
        <v>4.4399999999999995</v>
      </c>
      <c r="G5" s="9"/>
      <c r="H5" s="9"/>
      <c r="I5" s="9"/>
      <c r="J5" s="9"/>
      <c r="K5" s="9"/>
    </row>
    <row r="6" spans="1:11" ht="26.1" customHeight="1" x14ac:dyDescent="0.25">
      <c r="A6" s="13"/>
      <c r="B6" s="45" t="s">
        <v>10</v>
      </c>
      <c r="C6" s="37"/>
      <c r="D6" s="38">
        <v>0</v>
      </c>
      <c r="E6" s="26">
        <v>7.2999999999999995E-2</v>
      </c>
      <c r="F6" s="28">
        <f>(D6*E6)</f>
        <v>0</v>
      </c>
      <c r="G6" s="9"/>
      <c r="H6" s="9"/>
      <c r="I6" s="9"/>
      <c r="J6" s="9"/>
      <c r="K6" s="9"/>
    </row>
    <row r="7" spans="1:11" ht="12.9" customHeight="1" x14ac:dyDescent="0.25">
      <c r="A7" s="102"/>
      <c r="B7" s="39" t="s">
        <v>14</v>
      </c>
      <c r="C7" s="39"/>
      <c r="D7" s="104">
        <v>20</v>
      </c>
      <c r="E7" s="106">
        <v>9.5000000000000001E-2</v>
      </c>
      <c r="F7" s="108">
        <f>(D7*E7)</f>
        <v>1.9</v>
      </c>
      <c r="G7" s="9"/>
      <c r="H7" s="9"/>
      <c r="I7" s="9"/>
      <c r="J7" s="9"/>
      <c r="K7" s="9"/>
    </row>
    <row r="8" spans="1:11" ht="12.9" customHeight="1" x14ac:dyDescent="0.25">
      <c r="A8" s="103"/>
      <c r="B8" s="103" t="s">
        <v>23</v>
      </c>
      <c r="C8" s="127"/>
      <c r="D8" s="105"/>
      <c r="E8" s="107"/>
      <c r="F8" s="109"/>
      <c r="G8" s="9"/>
      <c r="H8" s="9"/>
      <c r="I8" s="9"/>
      <c r="J8" s="9"/>
      <c r="K8" s="9"/>
    </row>
    <row r="9" spans="1:11" ht="26.1" customHeight="1" x14ac:dyDescent="0.25">
      <c r="A9" s="22"/>
      <c r="B9" s="116" t="s">
        <v>24</v>
      </c>
      <c r="C9" s="117"/>
      <c r="D9" s="40">
        <v>0</v>
      </c>
      <c r="E9" s="43">
        <v>0.123</v>
      </c>
      <c r="F9" s="29">
        <f>(D9*E9)</f>
        <v>0</v>
      </c>
      <c r="G9" s="9"/>
      <c r="H9" s="9"/>
      <c r="I9" s="9"/>
      <c r="J9" s="9"/>
      <c r="K9" s="9"/>
    </row>
    <row r="10" spans="1:11" ht="12.9" customHeight="1" x14ac:dyDescent="0.25">
      <c r="A10" s="118"/>
      <c r="B10" s="45" t="s">
        <v>5</v>
      </c>
      <c r="C10" s="33"/>
      <c r="D10" s="128">
        <f>SUM(D2:D9)</f>
        <v>2133.7799999999997</v>
      </c>
      <c r="E10" s="114">
        <f>(F10/D10)*1000</f>
        <v>40.382794852327798</v>
      </c>
      <c r="F10" s="108">
        <f>SUM(F2:F9)</f>
        <v>86.167999999999992</v>
      </c>
      <c r="G10" s="9"/>
      <c r="H10" s="9"/>
      <c r="I10" s="9"/>
      <c r="J10" s="9"/>
      <c r="K10" s="9"/>
    </row>
    <row r="11" spans="1:11" ht="12.9" customHeight="1" x14ac:dyDescent="0.25">
      <c r="A11" s="119"/>
      <c r="B11" s="46" t="s">
        <v>18</v>
      </c>
      <c r="C11" s="35"/>
      <c r="D11" s="129"/>
      <c r="E11" s="115"/>
      <c r="F11" s="120"/>
      <c r="G11" s="9"/>
      <c r="H11" s="9"/>
      <c r="I11" s="9"/>
      <c r="J11" s="9"/>
      <c r="K11" s="9"/>
    </row>
    <row r="12" spans="1:11" ht="26.1" customHeight="1" x14ac:dyDescent="0.25">
      <c r="A12" s="22"/>
      <c r="B12" s="47" t="s">
        <v>6</v>
      </c>
      <c r="C12" s="15">
        <v>1.1000000000000001</v>
      </c>
      <c r="D12" s="20">
        <f>-C12*6</f>
        <v>-6.6000000000000005</v>
      </c>
      <c r="E12" s="27">
        <f>E4</f>
        <v>4.8000000000000001E-2</v>
      </c>
      <c r="F12" s="29">
        <f>(D12*E12)/1000</f>
        <v>-3.168E-4</v>
      </c>
      <c r="G12" s="9"/>
      <c r="H12" s="9"/>
      <c r="I12" s="9"/>
      <c r="J12" s="9"/>
      <c r="K12" s="9"/>
    </row>
    <row r="13" spans="1:11" ht="12.9" customHeight="1" x14ac:dyDescent="0.25">
      <c r="A13" s="23"/>
      <c r="B13" s="45" t="s">
        <v>7</v>
      </c>
      <c r="C13" s="33"/>
      <c r="D13" s="130">
        <f>D10+D12</f>
        <v>2127.1799999999998</v>
      </c>
      <c r="E13" s="114">
        <f>(F13/D13)*1000</f>
        <v>40.507941594035302</v>
      </c>
      <c r="F13" s="108">
        <f>F10+F12</f>
        <v>86.167683199999999</v>
      </c>
      <c r="G13" s="9"/>
      <c r="H13" s="9"/>
      <c r="I13" s="9"/>
      <c r="J13" s="9"/>
      <c r="K13" s="9"/>
    </row>
    <row r="14" spans="1:11" ht="12.9" customHeight="1" x14ac:dyDescent="0.25">
      <c r="A14" s="24"/>
      <c r="B14" s="46" t="s">
        <v>18</v>
      </c>
      <c r="C14" s="35"/>
      <c r="D14" s="131"/>
      <c r="E14" s="115"/>
      <c r="F14" s="120"/>
      <c r="G14" s="9"/>
      <c r="H14" s="9"/>
      <c r="I14" s="9"/>
      <c r="J14" s="9"/>
      <c r="K14" s="9"/>
    </row>
    <row r="15" spans="1:11" x14ac:dyDescent="0.25">
      <c r="A15" s="23"/>
      <c r="B15" s="121" t="s">
        <v>8</v>
      </c>
      <c r="C15" s="123">
        <v>17</v>
      </c>
      <c r="D15" s="125">
        <f>C15*6</f>
        <v>102</v>
      </c>
      <c r="E15" s="114">
        <v>0.05</v>
      </c>
      <c r="F15" s="108">
        <f>D15*E15</f>
        <v>5.1000000000000005</v>
      </c>
      <c r="G15" s="9"/>
      <c r="H15" s="9"/>
      <c r="I15" s="9"/>
      <c r="J15" s="9"/>
      <c r="K15" s="9"/>
    </row>
    <row r="16" spans="1:11" x14ac:dyDescent="0.25">
      <c r="A16" s="24"/>
      <c r="B16" s="122"/>
      <c r="C16" s="124"/>
      <c r="D16" s="126"/>
      <c r="E16" s="115"/>
      <c r="F16" s="120"/>
      <c r="G16" s="14"/>
      <c r="H16" s="9"/>
      <c r="I16" s="9"/>
      <c r="J16" s="9"/>
      <c r="K16" s="9"/>
    </row>
    <row r="17" spans="1:11" x14ac:dyDescent="0.25">
      <c r="A17" s="23"/>
      <c r="B17" s="45" t="s">
        <v>9</v>
      </c>
      <c r="C17" s="33"/>
      <c r="D17" s="130">
        <f>D2+D5+D6+D7+D8+D9+D15</f>
        <v>1917.78</v>
      </c>
      <c r="E17" s="114">
        <f>(F17/D17)*1000</f>
        <v>39.631240288249948</v>
      </c>
      <c r="F17" s="96">
        <f>F2+F5+F6+F7+F9+F15</f>
        <v>76.003999999999991</v>
      </c>
      <c r="G17" s="9"/>
      <c r="H17" s="9"/>
      <c r="I17" s="9"/>
      <c r="J17" s="9"/>
      <c r="K17" s="9"/>
    </row>
    <row r="18" spans="1:11" x14ac:dyDescent="0.25">
      <c r="A18" s="24"/>
      <c r="B18" s="46" t="s">
        <v>18</v>
      </c>
      <c r="C18" s="35"/>
      <c r="D18" s="131"/>
      <c r="E18" s="115"/>
      <c r="F18" s="97"/>
    </row>
    <row r="19" spans="1:11" x14ac:dyDescent="0.25">
      <c r="B19" s="9" t="s">
        <v>16</v>
      </c>
      <c r="C19" s="9"/>
      <c r="D19" s="16"/>
      <c r="E19" s="9"/>
      <c r="F19" s="9"/>
    </row>
    <row r="20" spans="1:11" x14ac:dyDescent="0.25">
      <c r="B20" s="7" t="s">
        <v>17</v>
      </c>
      <c r="C20" s="8"/>
      <c r="D20" s="9"/>
      <c r="E20" s="9"/>
      <c r="F20" s="7"/>
    </row>
    <row r="21" spans="1:11" x14ac:dyDescent="0.25">
      <c r="B21" s="7"/>
      <c r="C21" s="8"/>
      <c r="D21" s="9"/>
      <c r="E21" s="9"/>
      <c r="F21" s="8"/>
    </row>
    <row r="22" spans="1:11" x14ac:dyDescent="0.25">
      <c r="B22" s="9"/>
      <c r="C22" s="70" t="s">
        <v>52</v>
      </c>
      <c r="D22" s="71"/>
      <c r="E22" s="71"/>
      <c r="F22" s="71"/>
      <c r="G22" s="72"/>
      <c r="H22" s="70"/>
      <c r="I22" s="70"/>
      <c r="J22" s="70"/>
      <c r="K22" s="70"/>
    </row>
    <row r="23" spans="1:11" x14ac:dyDescent="0.25">
      <c r="B23" s="7"/>
      <c r="C23" s="73" t="s">
        <v>51</v>
      </c>
      <c r="D23" s="71"/>
      <c r="E23" s="71"/>
      <c r="F23" s="72"/>
      <c r="G23" s="72"/>
      <c r="H23" s="70"/>
      <c r="I23" s="70"/>
      <c r="J23" s="70"/>
      <c r="K23" s="70"/>
    </row>
    <row r="24" spans="1:11" x14ac:dyDescent="0.25">
      <c r="B24" s="7"/>
      <c r="C24" s="9"/>
      <c r="D24" s="8"/>
      <c r="E24" s="9"/>
      <c r="F24" s="8"/>
    </row>
    <row r="25" spans="1:11" x14ac:dyDescent="0.25">
      <c r="B25" s="9"/>
      <c r="C25" s="9"/>
      <c r="D25" s="8"/>
      <c r="E25" s="7"/>
      <c r="F25" s="8"/>
    </row>
  </sheetData>
  <mergeCells count="25">
    <mergeCell ref="E17:E18"/>
    <mergeCell ref="D15:D16"/>
    <mergeCell ref="E15:E16"/>
    <mergeCell ref="F17:F18"/>
    <mergeCell ref="F13:F14"/>
    <mergeCell ref="D17:D18"/>
    <mergeCell ref="D13:D14"/>
    <mergeCell ref="E13:E14"/>
    <mergeCell ref="B1:C1"/>
    <mergeCell ref="B9:C9"/>
    <mergeCell ref="D2:D3"/>
    <mergeCell ref="F2:F3"/>
    <mergeCell ref="F15:F16"/>
    <mergeCell ref="F7:F8"/>
    <mergeCell ref="F10:F11"/>
    <mergeCell ref="E2:E3"/>
    <mergeCell ref="E7:E8"/>
    <mergeCell ref="D10:D11"/>
    <mergeCell ref="E10:E11"/>
    <mergeCell ref="A7:A8"/>
    <mergeCell ref="B8:C8"/>
    <mergeCell ref="D7:D8"/>
    <mergeCell ref="A10:A11"/>
    <mergeCell ref="B15:B16"/>
    <mergeCell ref="C15:C16"/>
  </mergeCells>
  <phoneticPr fontId="0" type="noConversion"/>
  <printOptions horizontalCentered="1"/>
  <pageMargins left="0.75" right="0.75" top="1" bottom="1" header="0.5" footer="0.5"/>
  <pageSetup scale="65" orientation="landscape" blackAndWhite="1" horizontalDpi="300" verticalDpi="300" r:id="rId1"/>
  <headerFooter alignWithMargins="0">
    <oddHeader>&amp;C&amp;20&amp;A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3C448-9041-43C6-9CAA-012C77FA3F30}">
  <sheetPr>
    <tabColor theme="3" tint="0.39997558519241921"/>
    <pageSetUpPr fitToPage="1"/>
  </sheetPr>
  <dimension ref="A1:J18"/>
  <sheetViews>
    <sheetView showGridLines="0" tabSelected="1" workbookViewId="0">
      <selection activeCell="E14" sqref="E14"/>
    </sheetView>
  </sheetViews>
  <sheetFormatPr defaultColWidth="8.88671875" defaultRowHeight="13.2" x14ac:dyDescent="0.25"/>
  <cols>
    <col min="1" max="1" width="24.33203125" customWidth="1"/>
    <col min="2" max="2" width="9.6640625" customWidth="1"/>
    <col min="3" max="3" width="9.109375" style="2" customWidth="1"/>
    <col min="4" max="4" width="10.33203125" style="1" customWidth="1"/>
    <col min="5" max="5" width="11.44140625" style="2" customWidth="1"/>
  </cols>
  <sheetData>
    <row r="1" spans="1:5" s="3" customFormat="1" ht="39.9" customHeight="1" x14ac:dyDescent="0.25">
      <c r="A1" s="195" t="s">
        <v>63</v>
      </c>
      <c r="B1" s="196"/>
      <c r="C1" s="197" t="s">
        <v>0</v>
      </c>
      <c r="D1" s="198" t="s">
        <v>64</v>
      </c>
      <c r="E1" s="199" t="s">
        <v>65</v>
      </c>
    </row>
    <row r="2" spans="1:5" s="3" customFormat="1" ht="30.75" customHeight="1" x14ac:dyDescent="0.25">
      <c r="A2" s="200" t="s">
        <v>66</v>
      </c>
      <c r="B2" s="201" t="s">
        <v>67</v>
      </c>
      <c r="C2" s="202">
        <v>1729</v>
      </c>
      <c r="D2" s="203">
        <f>E2/C2</f>
        <v>39.315066512434932</v>
      </c>
      <c r="E2" s="202">
        <v>67975.75</v>
      </c>
    </row>
    <row r="3" spans="1:5" ht="24.9" customHeight="1" x14ac:dyDescent="0.25">
      <c r="A3" s="204" t="s">
        <v>68</v>
      </c>
      <c r="B3" s="205">
        <v>35</v>
      </c>
      <c r="C3" s="206">
        <f>B3*6</f>
        <v>210</v>
      </c>
      <c r="D3" s="207">
        <v>48</v>
      </c>
      <c r="E3" s="25">
        <f t="shared" ref="E3:E8" si="0">(C3*D3)</f>
        <v>10080</v>
      </c>
    </row>
    <row r="4" spans="1:5" ht="24.9" customHeight="1" x14ac:dyDescent="0.25">
      <c r="A4" s="208" t="s">
        <v>4</v>
      </c>
      <c r="B4" s="209"/>
      <c r="C4" s="210">
        <v>290</v>
      </c>
      <c r="D4" s="211">
        <v>37</v>
      </c>
      <c r="E4" s="93">
        <f t="shared" si="0"/>
        <v>10730</v>
      </c>
    </row>
    <row r="5" spans="1:5" ht="24.9" customHeight="1" x14ac:dyDescent="0.25">
      <c r="A5" s="208" t="s">
        <v>10</v>
      </c>
      <c r="B5" s="209"/>
      <c r="C5" s="212">
        <v>0</v>
      </c>
      <c r="D5" s="213">
        <v>73</v>
      </c>
      <c r="E5" s="93">
        <f t="shared" si="0"/>
        <v>0</v>
      </c>
    </row>
    <row r="6" spans="1:5" ht="24.9" customHeight="1" x14ac:dyDescent="0.25">
      <c r="A6" s="214" t="s">
        <v>69</v>
      </c>
      <c r="B6" s="209"/>
      <c r="C6" s="215">
        <v>50</v>
      </c>
      <c r="D6" s="216">
        <v>95</v>
      </c>
      <c r="E6" s="202">
        <f t="shared" si="0"/>
        <v>4750</v>
      </c>
    </row>
    <row r="7" spans="1:5" ht="24.9" customHeight="1" x14ac:dyDescent="0.25">
      <c r="A7" s="214" t="s">
        <v>70</v>
      </c>
      <c r="B7" s="209"/>
      <c r="C7" s="210">
        <v>50</v>
      </c>
      <c r="D7" s="211">
        <v>123</v>
      </c>
      <c r="E7" s="25">
        <f t="shared" si="0"/>
        <v>6150</v>
      </c>
    </row>
    <row r="8" spans="1:5" ht="24.9" customHeight="1" x14ac:dyDescent="0.25">
      <c r="A8" s="214" t="s">
        <v>71</v>
      </c>
      <c r="B8" s="209"/>
      <c r="C8" s="212">
        <v>15</v>
      </c>
      <c r="D8" s="213">
        <v>31.2</v>
      </c>
      <c r="E8" s="92">
        <f t="shared" si="0"/>
        <v>468</v>
      </c>
    </row>
    <row r="9" spans="1:5" ht="24.9" customHeight="1" x14ac:dyDescent="0.25">
      <c r="A9" s="208" t="s">
        <v>5</v>
      </c>
      <c r="B9" s="209"/>
      <c r="C9" s="217">
        <f>SUM(C2:C8)</f>
        <v>2344</v>
      </c>
      <c r="D9" s="202">
        <f>E9/C9</f>
        <v>42.727709044368602</v>
      </c>
      <c r="E9" s="202">
        <f>SUM(E2:E8)</f>
        <v>100153.75</v>
      </c>
    </row>
    <row r="10" spans="1:5" ht="24.9" customHeight="1" x14ac:dyDescent="0.25">
      <c r="A10" s="218" t="s">
        <v>6</v>
      </c>
      <c r="B10" s="219">
        <v>1.1000000000000001</v>
      </c>
      <c r="C10" s="206">
        <f>-B10*6</f>
        <v>-6.6000000000000005</v>
      </c>
      <c r="D10" s="211">
        <v>48</v>
      </c>
      <c r="E10" s="25">
        <f>(C10*D10)</f>
        <v>-316.8</v>
      </c>
    </row>
    <row r="11" spans="1:5" ht="24.9" customHeight="1" x14ac:dyDescent="0.25">
      <c r="A11" s="214" t="s">
        <v>72</v>
      </c>
      <c r="B11" s="209"/>
      <c r="C11" s="220">
        <f>C9+C10</f>
        <v>2337.4</v>
      </c>
      <c r="D11" s="216">
        <f>E11/C11</f>
        <v>42.712821938906472</v>
      </c>
      <c r="E11" s="202">
        <f>E9+E10</f>
        <v>99836.95</v>
      </c>
    </row>
    <row r="12" spans="1:5" ht="24.9" customHeight="1" x14ac:dyDescent="0.25">
      <c r="A12" s="221" t="s">
        <v>8</v>
      </c>
      <c r="B12" s="222">
        <v>5</v>
      </c>
      <c r="C12" s="223">
        <f>(B3-B12)*6</f>
        <v>180</v>
      </c>
      <c r="D12" s="224">
        <v>48</v>
      </c>
      <c r="E12" s="225">
        <f>C12*D12</f>
        <v>8640</v>
      </c>
    </row>
    <row r="13" spans="1:5" ht="24.9" customHeight="1" x14ac:dyDescent="0.25">
      <c r="A13" s="226" t="s">
        <v>73</v>
      </c>
      <c r="B13" s="209"/>
      <c r="C13" s="227">
        <f>C11-C12</f>
        <v>2157.4</v>
      </c>
      <c r="D13" s="228">
        <f>E13/C13</f>
        <v>42.271692778344303</v>
      </c>
      <c r="E13" s="93">
        <f t="shared" ref="E13" si="1">E11-E12</f>
        <v>91196.95</v>
      </c>
    </row>
    <row r="14" spans="1:5" ht="24.9" customHeight="1" x14ac:dyDescent="0.25">
      <c r="A14" s="229" t="s">
        <v>74</v>
      </c>
      <c r="B14" s="230"/>
      <c r="C14" s="230"/>
      <c r="E14"/>
    </row>
    <row r="15" spans="1:5" ht="24.9" customHeight="1" x14ac:dyDescent="0.25">
      <c r="A15" s="229" t="s">
        <v>75</v>
      </c>
      <c r="B15" s="230"/>
      <c r="C15" s="230"/>
      <c r="E15" s="1"/>
    </row>
    <row r="16" spans="1:5" ht="18" customHeight="1" x14ac:dyDescent="0.25">
      <c r="A16" s="231" t="s">
        <v>76</v>
      </c>
      <c r="B16" s="2"/>
      <c r="C16"/>
    </row>
    <row r="17" spans="2:10" x14ac:dyDescent="0.25">
      <c r="B17" s="70" t="s">
        <v>52</v>
      </c>
      <c r="C17" s="70"/>
      <c r="D17" s="232"/>
      <c r="E17" s="70"/>
      <c r="F17" s="233"/>
      <c r="G17" s="70"/>
      <c r="H17" s="70"/>
      <c r="I17" s="70"/>
      <c r="J17" s="70"/>
    </row>
    <row r="18" spans="2:10" x14ac:dyDescent="0.25">
      <c r="B18" s="232" t="s">
        <v>51</v>
      </c>
      <c r="C18" s="70"/>
      <c r="D18" s="232"/>
      <c r="E18" s="233"/>
      <c r="F18" s="233"/>
      <c r="G18" s="70"/>
      <c r="H18" s="70"/>
      <c r="I18" s="70"/>
      <c r="J18" s="70"/>
    </row>
  </sheetData>
  <mergeCells count="10">
    <mergeCell ref="A11:B11"/>
    <mergeCell ref="A13:B13"/>
    <mergeCell ref="B14:C14"/>
    <mergeCell ref="B15:C15"/>
    <mergeCell ref="A4:B4"/>
    <mergeCell ref="A5:B5"/>
    <mergeCell ref="A6:B6"/>
    <mergeCell ref="A7:B7"/>
    <mergeCell ref="A8:B8"/>
    <mergeCell ref="A9:B9"/>
  </mergeCells>
  <printOptions horizontalCentered="1"/>
  <pageMargins left="0.75" right="0.75" top="1" bottom="1" header="0.5" footer="0.5"/>
  <pageSetup scale="74" orientation="landscape" blackAndWhite="1" horizontalDpi="300" verticalDpi="300" r:id="rId1"/>
  <headerFooter alignWithMargins="0">
    <oddHeader>&amp;C&amp;20&amp;A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A1:K25"/>
  <sheetViews>
    <sheetView showGridLines="0" showRowColHeaders="0" workbookViewId="0">
      <selection activeCell="F4" sqref="F4"/>
    </sheetView>
  </sheetViews>
  <sheetFormatPr defaultRowHeight="13.2" x14ac:dyDescent="0.25"/>
  <cols>
    <col min="1" max="1" width="0.88671875" customWidth="1"/>
    <col min="2" max="2" width="12.6640625" customWidth="1"/>
    <col min="3" max="3" width="9.6640625" customWidth="1"/>
    <col min="4" max="4" width="9.109375" style="2" customWidth="1"/>
    <col min="5" max="5" width="7.5546875" style="1" customWidth="1"/>
    <col min="6" max="6" width="11.44140625" style="2" customWidth="1"/>
  </cols>
  <sheetData>
    <row r="1" spans="1:11" s="3" customFormat="1" ht="26.25" customHeight="1" x14ac:dyDescent="0.25">
      <c r="B1" s="94" t="s">
        <v>22</v>
      </c>
      <c r="C1" s="95"/>
      <c r="D1" s="5" t="s">
        <v>0</v>
      </c>
      <c r="E1" s="6" t="s">
        <v>1</v>
      </c>
      <c r="F1" s="5" t="s">
        <v>12</v>
      </c>
      <c r="G1" s="4"/>
      <c r="H1" s="4"/>
      <c r="I1" s="4"/>
      <c r="J1" s="4"/>
      <c r="K1" s="4"/>
    </row>
    <row r="2" spans="1:11" s="3" customFormat="1" ht="12.9" customHeight="1" x14ac:dyDescent="0.25">
      <c r="A2" s="12"/>
      <c r="B2" s="21" t="s">
        <v>2</v>
      </c>
      <c r="C2" s="30"/>
      <c r="D2" s="132">
        <v>1719</v>
      </c>
      <c r="E2" s="114">
        <v>37.950000000000003</v>
      </c>
      <c r="F2" s="100">
        <v>65.244</v>
      </c>
      <c r="G2" s="4"/>
      <c r="H2" s="4"/>
      <c r="I2" s="4"/>
      <c r="J2" s="4"/>
      <c r="K2" s="4"/>
    </row>
    <row r="3" spans="1:11" ht="12.9" customHeight="1" x14ac:dyDescent="0.25">
      <c r="A3" s="13"/>
      <c r="B3" s="31" t="s">
        <v>3</v>
      </c>
      <c r="C3" s="32"/>
      <c r="D3" s="133"/>
      <c r="E3" s="115"/>
      <c r="F3" s="101"/>
      <c r="G3" s="9"/>
      <c r="H3" s="9"/>
      <c r="I3" s="9"/>
      <c r="J3" s="9"/>
      <c r="K3" s="9"/>
    </row>
    <row r="4" spans="1:11" ht="26.1" customHeight="1" x14ac:dyDescent="0.25">
      <c r="A4" s="13"/>
      <c r="B4" s="147" t="s">
        <v>4</v>
      </c>
      <c r="C4" s="117"/>
      <c r="D4" s="10">
        <v>405</v>
      </c>
      <c r="E4" s="25">
        <v>3.6999999999999998E-2</v>
      </c>
      <c r="F4" s="51">
        <f>(D4*E4)</f>
        <v>14.984999999999999</v>
      </c>
      <c r="G4" s="9"/>
      <c r="H4" s="9"/>
      <c r="I4" s="9"/>
      <c r="J4" s="9"/>
      <c r="K4" s="9"/>
    </row>
    <row r="5" spans="1:11" ht="26.1" customHeight="1" x14ac:dyDescent="0.25">
      <c r="A5" s="13"/>
      <c r="B5" s="148" t="s">
        <v>10</v>
      </c>
      <c r="C5" s="149"/>
      <c r="D5" s="10">
        <v>0</v>
      </c>
      <c r="E5" s="25">
        <v>7.2999999999999995E-2</v>
      </c>
      <c r="F5" s="51">
        <f>(D5*E5)</f>
        <v>0</v>
      </c>
      <c r="G5" s="9"/>
      <c r="H5" s="9"/>
      <c r="I5" s="9"/>
      <c r="J5" s="9"/>
      <c r="K5" s="9"/>
    </row>
    <row r="6" spans="1:11" ht="26.1" customHeight="1" x14ac:dyDescent="0.25">
      <c r="A6" s="13"/>
      <c r="B6" s="147" t="s">
        <v>25</v>
      </c>
      <c r="C6" s="117"/>
      <c r="D6" s="49">
        <v>30</v>
      </c>
      <c r="E6" s="25">
        <v>9.5000000000000001E-2</v>
      </c>
      <c r="F6" s="51">
        <f>(D6*E6)</f>
        <v>2.85</v>
      </c>
      <c r="G6" s="9"/>
      <c r="H6" s="9"/>
      <c r="I6" s="9"/>
      <c r="J6" s="9"/>
      <c r="K6" s="9"/>
    </row>
    <row r="7" spans="1:11" ht="26.1" customHeight="1" x14ac:dyDescent="0.25">
      <c r="A7" s="13"/>
      <c r="B7" s="147" t="s">
        <v>26</v>
      </c>
      <c r="C7" s="117"/>
      <c r="D7" s="17">
        <v>0</v>
      </c>
      <c r="E7" s="25">
        <v>9.5000000000000001E-2</v>
      </c>
      <c r="F7" s="51">
        <f>(D7*E7)</f>
        <v>0</v>
      </c>
      <c r="G7" s="9"/>
      <c r="H7" s="9"/>
      <c r="I7" s="9"/>
      <c r="J7" s="9"/>
      <c r="K7" s="9"/>
    </row>
    <row r="8" spans="1:11" ht="12.9" customHeight="1" x14ac:dyDescent="0.25">
      <c r="A8" s="102"/>
      <c r="B8" s="140" t="s">
        <v>27</v>
      </c>
      <c r="C8" s="144">
        <f>23+22</f>
        <v>45</v>
      </c>
      <c r="D8" s="125">
        <f>C8*6</f>
        <v>270</v>
      </c>
      <c r="E8" s="106">
        <v>4.8000000000000001E-2</v>
      </c>
      <c r="F8" s="100">
        <f>(D8*E8)</f>
        <v>12.96</v>
      </c>
      <c r="G8" s="9"/>
      <c r="H8" s="9"/>
      <c r="I8" s="9"/>
      <c r="J8" s="9"/>
      <c r="K8" s="9"/>
    </row>
    <row r="9" spans="1:11" ht="12.9" customHeight="1" x14ac:dyDescent="0.25">
      <c r="A9" s="103"/>
      <c r="B9" s="141"/>
      <c r="C9" s="145"/>
      <c r="D9" s="146"/>
      <c r="E9" s="136"/>
      <c r="F9" s="101"/>
      <c r="G9" s="9"/>
      <c r="H9" s="9"/>
      <c r="I9" s="9"/>
      <c r="J9" s="9"/>
      <c r="K9" s="9"/>
    </row>
    <row r="10" spans="1:11" ht="12.9" customHeight="1" x14ac:dyDescent="0.25">
      <c r="A10" s="102"/>
      <c r="B10" s="21" t="s">
        <v>5</v>
      </c>
      <c r="C10" s="33"/>
      <c r="D10" s="134">
        <f>SUM(D2:D8)</f>
        <v>2424</v>
      </c>
      <c r="E10" s="114">
        <f>F10/D10*1000</f>
        <v>39.620049504950487</v>
      </c>
      <c r="F10" s="100">
        <f>SUM(F2:F9)</f>
        <v>96.038999999999987</v>
      </c>
      <c r="G10" s="9"/>
      <c r="H10" s="9"/>
      <c r="I10" s="9"/>
      <c r="J10" s="9"/>
      <c r="K10" s="9"/>
    </row>
    <row r="11" spans="1:11" ht="12.9" customHeight="1" x14ac:dyDescent="0.25">
      <c r="A11" s="103"/>
      <c r="B11" s="34" t="s">
        <v>21</v>
      </c>
      <c r="C11" s="35"/>
      <c r="D11" s="135"/>
      <c r="E11" s="115"/>
      <c r="F11" s="101"/>
      <c r="G11" s="9"/>
      <c r="H11" s="9"/>
      <c r="I11" s="9"/>
      <c r="J11" s="9"/>
      <c r="K11" s="9"/>
    </row>
    <row r="12" spans="1:11" ht="26.1" customHeight="1" x14ac:dyDescent="0.25">
      <c r="A12" s="11"/>
      <c r="B12" s="18" t="s">
        <v>6</v>
      </c>
      <c r="C12" s="15">
        <v>1</v>
      </c>
      <c r="D12" s="20">
        <f>-C12*6</f>
        <v>-6</v>
      </c>
      <c r="E12" s="27">
        <f>E8</f>
        <v>4.8000000000000001E-2</v>
      </c>
      <c r="F12" s="51">
        <f>(D12*E12)</f>
        <v>-0.28800000000000003</v>
      </c>
      <c r="G12" s="9"/>
      <c r="H12" s="9"/>
      <c r="I12" s="9"/>
      <c r="J12" s="9"/>
      <c r="K12" s="9"/>
    </row>
    <row r="13" spans="1:11" ht="12.9" customHeight="1" x14ac:dyDescent="0.25">
      <c r="A13" s="118"/>
      <c r="B13" s="21" t="s">
        <v>7</v>
      </c>
      <c r="C13" s="33"/>
      <c r="D13" s="138">
        <f>D10+D12</f>
        <v>2418</v>
      </c>
      <c r="E13" s="114">
        <f>(F13/D13)*1000</f>
        <v>39.599255583126549</v>
      </c>
      <c r="F13" s="100">
        <f>F10+F12</f>
        <v>95.750999999999991</v>
      </c>
      <c r="G13" s="9"/>
      <c r="H13" s="9"/>
      <c r="I13" s="9"/>
      <c r="J13" s="9"/>
      <c r="K13" s="9"/>
    </row>
    <row r="14" spans="1:11" ht="12.9" customHeight="1" x14ac:dyDescent="0.25">
      <c r="A14" s="137"/>
      <c r="B14" s="34" t="s">
        <v>21</v>
      </c>
      <c r="C14" s="35"/>
      <c r="D14" s="139"/>
      <c r="E14" s="115"/>
      <c r="F14" s="101"/>
      <c r="G14" s="9"/>
      <c r="H14" s="9"/>
      <c r="I14" s="9"/>
      <c r="J14" s="9"/>
      <c r="K14" s="9"/>
    </row>
    <row r="15" spans="1:11" x14ac:dyDescent="0.25">
      <c r="A15" s="118"/>
      <c r="B15" s="140" t="s">
        <v>8</v>
      </c>
      <c r="C15" s="142">
        <v>30</v>
      </c>
      <c r="D15" s="125">
        <f>C15*6</f>
        <v>180</v>
      </c>
      <c r="E15" s="106">
        <v>4.8000000000000001E-2</v>
      </c>
      <c r="F15" s="96">
        <f>(D15*E15)</f>
        <v>8.64</v>
      </c>
      <c r="G15" s="9"/>
      <c r="H15" s="9"/>
      <c r="I15" s="9"/>
      <c r="J15" s="9"/>
      <c r="K15" s="9"/>
    </row>
    <row r="16" spans="1:11" x14ac:dyDescent="0.25">
      <c r="A16" s="119"/>
      <c r="B16" s="141"/>
      <c r="C16" s="143"/>
      <c r="D16" s="126"/>
      <c r="E16" s="136"/>
      <c r="F16" s="97"/>
      <c r="G16" s="14"/>
      <c r="H16" s="9"/>
      <c r="I16" s="9"/>
      <c r="J16" s="9"/>
      <c r="K16" s="9"/>
    </row>
    <row r="17" spans="1:11" x14ac:dyDescent="0.25">
      <c r="A17" s="118"/>
      <c r="B17" s="21" t="s">
        <v>9</v>
      </c>
      <c r="C17" s="82"/>
      <c r="D17" s="134">
        <f>SUM(D2:D7)+D15</f>
        <v>2334</v>
      </c>
      <c r="E17" s="114">
        <f>(F17/D17)*1000</f>
        <v>39.296915167095108</v>
      </c>
      <c r="F17" s="96">
        <f>SUM(F2:F7)+F15</f>
        <v>91.718999999999994</v>
      </c>
      <c r="G17" s="9"/>
      <c r="H17" s="9"/>
      <c r="I17" s="9"/>
      <c r="J17" s="9"/>
      <c r="K17" s="9"/>
    </row>
    <row r="18" spans="1:11" x14ac:dyDescent="0.25">
      <c r="A18" s="119"/>
      <c r="B18" s="34" t="s">
        <v>21</v>
      </c>
      <c r="C18" s="32"/>
      <c r="D18" s="135"/>
      <c r="E18" s="115"/>
      <c r="F18" s="97"/>
    </row>
    <row r="19" spans="1:11" x14ac:dyDescent="0.25">
      <c r="B19" s="53" t="s">
        <v>28</v>
      </c>
      <c r="C19" s="9"/>
      <c r="D19" s="16"/>
      <c r="E19" s="9"/>
      <c r="F19" s="9"/>
    </row>
    <row r="20" spans="1:11" x14ac:dyDescent="0.25">
      <c r="B20" s="52" t="s">
        <v>29</v>
      </c>
      <c r="C20" s="8"/>
      <c r="D20" s="9"/>
      <c r="E20" s="9"/>
      <c r="F20" s="7"/>
    </row>
    <row r="21" spans="1:11" x14ac:dyDescent="0.25">
      <c r="B21" s="7"/>
      <c r="C21" s="8"/>
      <c r="D21" s="9"/>
      <c r="E21" s="9"/>
      <c r="F21" s="8"/>
    </row>
    <row r="22" spans="1:11" x14ac:dyDescent="0.25">
      <c r="B22" s="9"/>
      <c r="C22" s="70" t="s">
        <v>52</v>
      </c>
      <c r="D22" s="71"/>
      <c r="E22" s="71"/>
      <c r="F22" s="71"/>
      <c r="G22" s="72"/>
      <c r="H22" s="70"/>
      <c r="I22" s="70"/>
      <c r="J22" s="70"/>
      <c r="K22" s="70"/>
    </row>
    <row r="23" spans="1:11" x14ac:dyDescent="0.25">
      <c r="B23" s="7"/>
      <c r="C23" s="73" t="s">
        <v>51</v>
      </c>
      <c r="D23" s="71"/>
      <c r="E23" s="71"/>
      <c r="F23" s="72"/>
      <c r="G23" s="72"/>
      <c r="H23" s="70"/>
      <c r="I23" s="70"/>
      <c r="J23" s="70"/>
      <c r="K23" s="70"/>
    </row>
    <row r="24" spans="1:11" x14ac:dyDescent="0.25">
      <c r="B24" s="7"/>
      <c r="C24" s="9"/>
      <c r="D24" s="8"/>
      <c r="E24" s="9"/>
      <c r="F24" s="8"/>
    </row>
    <row r="25" spans="1:11" x14ac:dyDescent="0.25">
      <c r="B25" s="9"/>
      <c r="C25" s="9"/>
      <c r="D25" s="8"/>
      <c r="E25" s="7"/>
      <c r="F25" s="8"/>
    </row>
  </sheetData>
  <mergeCells count="32">
    <mergeCell ref="B1:C1"/>
    <mergeCell ref="B7:C7"/>
    <mergeCell ref="B4:C4"/>
    <mergeCell ref="B5:C5"/>
    <mergeCell ref="B6:C6"/>
    <mergeCell ref="A8:A9"/>
    <mergeCell ref="C8:C9"/>
    <mergeCell ref="A10:A11"/>
    <mergeCell ref="D8:D9"/>
    <mergeCell ref="D10:D11"/>
    <mergeCell ref="B8:B9"/>
    <mergeCell ref="A13:A14"/>
    <mergeCell ref="D13:D14"/>
    <mergeCell ref="A17:A18"/>
    <mergeCell ref="B15:B16"/>
    <mergeCell ref="C15:C16"/>
    <mergeCell ref="A15:A16"/>
    <mergeCell ref="F2:F3"/>
    <mergeCell ref="E2:E3"/>
    <mergeCell ref="D2:D3"/>
    <mergeCell ref="D17:D18"/>
    <mergeCell ref="E17:E18"/>
    <mergeCell ref="F17:F18"/>
    <mergeCell ref="D15:D16"/>
    <mergeCell ref="E15:E16"/>
    <mergeCell ref="F15:F16"/>
    <mergeCell ref="F13:F14"/>
    <mergeCell ref="E8:E9"/>
    <mergeCell ref="E13:E14"/>
    <mergeCell ref="F8:F9"/>
    <mergeCell ref="E10:E11"/>
    <mergeCell ref="F10:F11"/>
  </mergeCells>
  <phoneticPr fontId="0" type="noConversion"/>
  <printOptions horizontalCentered="1"/>
  <pageMargins left="0.75" right="0.75" top="1" bottom="1" header="0.5" footer="0.5"/>
  <pageSetup scale="67" orientation="portrait" blackAndWhite="1" horizontalDpi="4294967293" verticalDpi="300" r:id="rId1"/>
  <headerFooter alignWithMargins="0">
    <oddHeader>&amp;C&amp;20&amp;A</oddHeader>
    <oddFooter>&amp;CELMENDORF AERO CLUB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N26"/>
  <sheetViews>
    <sheetView showGridLines="0" showRowColHeaders="0" workbookViewId="0">
      <selection activeCell="F2" sqref="F2:F3"/>
    </sheetView>
  </sheetViews>
  <sheetFormatPr defaultRowHeight="13.2" x14ac:dyDescent="0.25"/>
  <cols>
    <col min="1" max="1" width="0.88671875" customWidth="1"/>
    <col min="2" max="2" width="12.6640625" customWidth="1"/>
    <col min="3" max="3" width="9.6640625" customWidth="1"/>
    <col min="4" max="4" width="13.88671875" style="2" bestFit="1" customWidth="1"/>
    <col min="5" max="5" width="7.5546875" style="1" customWidth="1"/>
    <col min="6" max="6" width="11.44140625" style="2" customWidth="1"/>
  </cols>
  <sheetData>
    <row r="1" spans="1:11" s="3" customFormat="1" ht="26.25" customHeight="1" x14ac:dyDescent="0.25">
      <c r="B1" s="94" t="s">
        <v>40</v>
      </c>
      <c r="C1" s="95"/>
      <c r="D1" s="5" t="s">
        <v>0</v>
      </c>
      <c r="E1" s="6" t="s">
        <v>1</v>
      </c>
      <c r="F1" s="5" t="s">
        <v>12</v>
      </c>
      <c r="G1" s="4"/>
      <c r="H1" s="4"/>
      <c r="I1" s="4"/>
      <c r="J1" s="4"/>
      <c r="K1" s="4"/>
    </row>
    <row r="2" spans="1:11" s="3" customFormat="1" ht="12.9" customHeight="1" x14ac:dyDescent="0.25">
      <c r="A2" s="12"/>
      <c r="B2" s="21" t="s">
        <v>2</v>
      </c>
      <c r="C2" s="30"/>
      <c r="D2" s="96">
        <v>1863.98</v>
      </c>
      <c r="E2" s="98">
        <v>37.03</v>
      </c>
      <c r="F2" s="100">
        <v>69.022999999999996</v>
      </c>
      <c r="G2" s="4"/>
      <c r="H2" s="4"/>
      <c r="I2" s="4"/>
      <c r="J2" s="4"/>
      <c r="K2" s="4"/>
    </row>
    <row r="3" spans="1:11" ht="12.9" customHeight="1" x14ac:dyDescent="0.25">
      <c r="A3" s="13"/>
      <c r="B3" s="31" t="s">
        <v>13</v>
      </c>
      <c r="C3" s="32"/>
      <c r="D3" s="97"/>
      <c r="E3" s="99"/>
      <c r="F3" s="101"/>
      <c r="G3" s="9"/>
      <c r="H3" s="9"/>
      <c r="I3" s="9"/>
      <c r="J3" s="9"/>
      <c r="K3" s="9"/>
    </row>
    <row r="4" spans="1:11" ht="26.1" customHeight="1" x14ac:dyDescent="0.25">
      <c r="A4" s="13"/>
      <c r="B4" s="18" t="s">
        <v>41</v>
      </c>
      <c r="C4" s="63">
        <v>65</v>
      </c>
      <c r="D4" s="19">
        <f>C4*6</f>
        <v>390</v>
      </c>
      <c r="E4" s="48">
        <v>4.6589999999999999E-2</v>
      </c>
      <c r="F4" s="28">
        <f>(D4*E4)</f>
        <v>18.170100000000001</v>
      </c>
      <c r="G4" s="9"/>
      <c r="H4" s="9"/>
      <c r="I4" s="9"/>
      <c r="J4" s="9"/>
      <c r="K4" s="9"/>
    </row>
    <row r="5" spans="1:11" ht="26.1" customHeight="1" x14ac:dyDescent="0.25">
      <c r="A5" s="13"/>
      <c r="B5" s="44" t="s">
        <v>4</v>
      </c>
      <c r="C5" s="18"/>
      <c r="D5" s="10">
        <v>400</v>
      </c>
      <c r="E5" s="25">
        <v>3.78E-2</v>
      </c>
      <c r="F5" s="28">
        <f>(D5*E5)</f>
        <v>15.120000000000001</v>
      </c>
      <c r="G5" s="9"/>
      <c r="H5" s="9"/>
      <c r="I5" s="9"/>
      <c r="J5" s="9"/>
      <c r="K5" s="9"/>
    </row>
    <row r="6" spans="1:11" ht="26.1" customHeight="1" x14ac:dyDescent="0.25">
      <c r="A6" s="13"/>
      <c r="B6" s="45" t="s">
        <v>10</v>
      </c>
      <c r="C6" s="37"/>
      <c r="D6" s="38">
        <v>0</v>
      </c>
      <c r="E6" s="26">
        <v>7.2999999999999995E-2</v>
      </c>
      <c r="F6" s="28">
        <f>(D6*E6)</f>
        <v>0</v>
      </c>
      <c r="G6" s="9"/>
      <c r="H6" s="9"/>
      <c r="I6" s="9"/>
      <c r="J6" s="9"/>
      <c r="K6" s="9"/>
    </row>
    <row r="7" spans="1:11" ht="12.9" customHeight="1" x14ac:dyDescent="0.25">
      <c r="A7" s="102"/>
      <c r="B7" s="39" t="s">
        <v>45</v>
      </c>
      <c r="C7" s="39"/>
      <c r="D7" s="104">
        <v>25</v>
      </c>
      <c r="E7" s="106">
        <v>9.7000000000000003E-2</v>
      </c>
      <c r="F7" s="108">
        <f>(D7*E7)</f>
        <v>2.4250000000000003</v>
      </c>
      <c r="G7" s="9"/>
      <c r="H7" s="9"/>
      <c r="I7" s="9"/>
      <c r="J7" s="9"/>
      <c r="K7" s="9"/>
    </row>
    <row r="8" spans="1:11" ht="12.9" customHeight="1" x14ac:dyDescent="0.25">
      <c r="A8" s="103"/>
      <c r="B8" s="103" t="s">
        <v>50</v>
      </c>
      <c r="C8" s="127"/>
      <c r="D8" s="105"/>
      <c r="E8" s="107"/>
      <c r="F8" s="109"/>
      <c r="G8" s="9"/>
      <c r="H8" s="9"/>
      <c r="I8" s="9"/>
      <c r="J8" s="9"/>
      <c r="K8" s="9"/>
    </row>
    <row r="9" spans="1:11" ht="26.1" customHeight="1" x14ac:dyDescent="0.25">
      <c r="A9" s="22"/>
      <c r="B9" s="116" t="s">
        <v>48</v>
      </c>
      <c r="C9" s="156"/>
      <c r="D9" s="67">
        <v>0</v>
      </c>
      <c r="E9" s="43">
        <v>0.11600000000000001</v>
      </c>
      <c r="F9" s="29">
        <f>(D9*E9)</f>
        <v>0</v>
      </c>
      <c r="G9" s="9"/>
      <c r="H9" s="9"/>
      <c r="I9" s="9"/>
      <c r="J9" s="9"/>
      <c r="K9" s="9"/>
    </row>
    <row r="10" spans="1:11" ht="26.1" customHeight="1" x14ac:dyDescent="0.25">
      <c r="A10" s="65"/>
      <c r="B10" s="157" t="s">
        <v>49</v>
      </c>
      <c r="C10" s="158"/>
      <c r="D10" s="68">
        <v>0</v>
      </c>
      <c r="E10" s="64">
        <v>0.129</v>
      </c>
      <c r="F10" s="29">
        <f>(D10*E10)</f>
        <v>0</v>
      </c>
      <c r="G10" s="9"/>
      <c r="H10" s="9"/>
      <c r="I10" s="9"/>
      <c r="J10" s="9"/>
      <c r="K10" s="9"/>
    </row>
    <row r="11" spans="1:11" ht="26.1" customHeight="1" x14ac:dyDescent="0.25">
      <c r="A11" s="65"/>
      <c r="B11" s="45" t="s">
        <v>5</v>
      </c>
      <c r="C11" s="33"/>
      <c r="D11" s="154">
        <f>SUM(D2:D10)</f>
        <v>2678.98</v>
      </c>
      <c r="E11" s="114">
        <f>(F11/D11)*1000</f>
        <v>39.096260517062461</v>
      </c>
      <c r="F11" s="108">
        <f>SUM(F2:F10)</f>
        <v>104.7381</v>
      </c>
      <c r="G11" s="9"/>
      <c r="H11" s="9"/>
      <c r="I11" s="9"/>
      <c r="J11" s="9"/>
      <c r="K11" s="9"/>
    </row>
    <row r="12" spans="1:11" ht="12.9" customHeight="1" x14ac:dyDescent="0.25">
      <c r="A12" s="118"/>
      <c r="B12" s="46" t="s">
        <v>53</v>
      </c>
      <c r="C12" s="35"/>
      <c r="D12" s="155"/>
      <c r="E12" s="115"/>
      <c r="F12" s="120"/>
      <c r="G12" s="9"/>
      <c r="H12" s="9"/>
      <c r="I12" s="9"/>
      <c r="J12" s="9"/>
      <c r="K12" s="9"/>
    </row>
    <row r="13" spans="1:11" ht="12.9" customHeight="1" x14ac:dyDescent="0.25">
      <c r="A13" s="119"/>
      <c r="B13" s="47" t="s">
        <v>6</v>
      </c>
      <c r="C13" s="15">
        <v>1.6</v>
      </c>
      <c r="D13" s="20">
        <f>-C13*6</f>
        <v>-9.6000000000000014</v>
      </c>
      <c r="E13" s="27">
        <f>E4</f>
        <v>4.6589999999999999E-2</v>
      </c>
      <c r="F13" s="29">
        <f>(D13*E13)/1000</f>
        <v>-4.4726400000000006E-4</v>
      </c>
      <c r="G13" s="9"/>
      <c r="H13" s="9"/>
      <c r="I13" s="9"/>
      <c r="J13" s="9"/>
      <c r="K13" s="9"/>
    </row>
    <row r="14" spans="1:11" ht="26.1" customHeight="1" x14ac:dyDescent="0.25">
      <c r="A14" s="22"/>
      <c r="B14" s="45" t="s">
        <v>7</v>
      </c>
      <c r="C14" s="33"/>
      <c r="D14" s="152">
        <f>D11+D13</f>
        <v>2669.38</v>
      </c>
      <c r="E14" s="114">
        <f>(F14/D14)*1000</f>
        <v>39.236696437374974</v>
      </c>
      <c r="F14" s="108">
        <f>F11+F13</f>
        <v>104.737652736</v>
      </c>
      <c r="G14" s="9"/>
      <c r="H14" s="9"/>
      <c r="I14" s="9"/>
      <c r="J14" s="9"/>
      <c r="K14" s="9"/>
    </row>
    <row r="15" spans="1:11" ht="12.9" customHeight="1" x14ac:dyDescent="0.25">
      <c r="A15" s="23"/>
      <c r="B15" s="46" t="s">
        <v>42</v>
      </c>
      <c r="C15" s="35"/>
      <c r="D15" s="153"/>
      <c r="E15" s="115"/>
      <c r="F15" s="120"/>
      <c r="G15" s="9"/>
      <c r="H15" s="9"/>
      <c r="I15" s="9"/>
      <c r="J15" s="9"/>
      <c r="K15" s="9"/>
    </row>
    <row r="16" spans="1:11" ht="12.9" customHeight="1" x14ac:dyDescent="0.25">
      <c r="A16" s="24"/>
      <c r="B16" s="121" t="s">
        <v>8</v>
      </c>
      <c r="C16" s="123">
        <v>35</v>
      </c>
      <c r="D16" s="125">
        <f>C16*6</f>
        <v>210</v>
      </c>
      <c r="E16" s="114">
        <v>0.05</v>
      </c>
      <c r="F16" s="108">
        <f>D16*E16</f>
        <v>10.5</v>
      </c>
      <c r="G16" s="9"/>
      <c r="H16" s="9"/>
      <c r="I16" s="9"/>
      <c r="J16" s="9"/>
      <c r="K16" s="9"/>
    </row>
    <row r="17" spans="1:14" x14ac:dyDescent="0.25">
      <c r="A17" s="23"/>
      <c r="B17" s="122"/>
      <c r="C17" s="124"/>
      <c r="D17" s="126"/>
      <c r="E17" s="115"/>
      <c r="F17" s="120"/>
      <c r="G17" s="9"/>
      <c r="H17" s="9"/>
      <c r="I17" s="9"/>
      <c r="J17" s="9"/>
      <c r="K17" s="9"/>
    </row>
    <row r="18" spans="1:14" x14ac:dyDescent="0.25">
      <c r="A18" s="24"/>
      <c r="B18" s="45" t="s">
        <v>9</v>
      </c>
      <c r="C18" s="33"/>
      <c r="D18" s="150">
        <f>D2+D5+D6+D7+D9+D10+D16</f>
        <v>2498.98</v>
      </c>
      <c r="E18" s="114">
        <f>(F18/D18)*1000</f>
        <v>38.843047963569134</v>
      </c>
      <c r="F18" s="96">
        <f>F2+F5+F6+F7+F9+F16</f>
        <v>97.067999999999998</v>
      </c>
      <c r="G18" s="14"/>
      <c r="H18" s="9"/>
      <c r="I18" s="9"/>
      <c r="J18" s="9"/>
      <c r="K18" s="9"/>
    </row>
    <row r="19" spans="1:14" x14ac:dyDescent="0.25">
      <c r="A19" s="23"/>
      <c r="B19" s="46" t="s">
        <v>54</v>
      </c>
      <c r="C19" s="35"/>
      <c r="D19" s="151"/>
      <c r="E19" s="115"/>
      <c r="F19" s="97"/>
      <c r="G19" s="9"/>
      <c r="H19" s="9"/>
      <c r="I19" s="9"/>
      <c r="J19" s="9"/>
      <c r="K19" s="9"/>
    </row>
    <row r="20" spans="1:14" x14ac:dyDescent="0.25">
      <c r="A20" s="24"/>
      <c r="B20" s="69"/>
      <c r="C20" s="69" t="s">
        <v>47</v>
      </c>
    </row>
    <row r="21" spans="1:14" x14ac:dyDescent="0.25">
      <c r="B21" s="9" t="s">
        <v>16</v>
      </c>
      <c r="C21" s="9"/>
      <c r="D21" s="16"/>
      <c r="E21" s="9"/>
      <c r="F21" s="9"/>
    </row>
    <row r="22" spans="1:14" x14ac:dyDescent="0.25">
      <c r="B22" s="7" t="s">
        <v>44</v>
      </c>
      <c r="C22" s="8"/>
      <c r="D22" s="9"/>
      <c r="E22" s="9"/>
      <c r="F22" s="7"/>
      <c r="M22" t="s">
        <v>55</v>
      </c>
    </row>
    <row r="23" spans="1:14" x14ac:dyDescent="0.25">
      <c r="B23" s="7" t="s">
        <v>16</v>
      </c>
      <c r="C23" s="8"/>
      <c r="D23" s="9"/>
      <c r="E23" s="9"/>
      <c r="F23" s="8"/>
    </row>
    <row r="24" spans="1:14" x14ac:dyDescent="0.25">
      <c r="B24" s="7" t="s">
        <v>46</v>
      </c>
      <c r="C24" s="9"/>
      <c r="D24" s="9"/>
      <c r="E24" s="8"/>
      <c r="F24" s="8"/>
    </row>
    <row r="25" spans="1:14" x14ac:dyDescent="0.25">
      <c r="B25" s="7"/>
      <c r="C25" s="9"/>
      <c r="D25" s="8"/>
      <c r="E25" s="74"/>
      <c r="F25" s="70" t="s">
        <v>52</v>
      </c>
      <c r="G25" s="71"/>
      <c r="H25" s="71"/>
      <c r="I25" s="71"/>
      <c r="J25" s="72"/>
      <c r="K25" s="70"/>
      <c r="L25" s="70"/>
      <c r="M25" s="70"/>
      <c r="N25" s="70"/>
    </row>
    <row r="26" spans="1:14" x14ac:dyDescent="0.25">
      <c r="B26" s="9"/>
      <c r="C26" s="9"/>
      <c r="D26" s="8"/>
      <c r="E26" s="75"/>
      <c r="F26" s="73" t="s">
        <v>51</v>
      </c>
      <c r="G26" s="71"/>
      <c r="H26" s="71"/>
      <c r="I26" s="72"/>
      <c r="J26" s="72"/>
      <c r="K26" s="70"/>
      <c r="L26" s="70"/>
      <c r="M26" s="70"/>
      <c r="N26" s="70"/>
    </row>
  </sheetData>
  <mergeCells count="26">
    <mergeCell ref="A12:A13"/>
    <mergeCell ref="B16:B17"/>
    <mergeCell ref="C16:C17"/>
    <mergeCell ref="B1:C1"/>
    <mergeCell ref="B9:C9"/>
    <mergeCell ref="B10:C10"/>
    <mergeCell ref="D2:D3"/>
    <mergeCell ref="E2:E3"/>
    <mergeCell ref="A7:A8"/>
    <mergeCell ref="B8:C8"/>
    <mergeCell ref="D7:D8"/>
    <mergeCell ref="E7:E8"/>
    <mergeCell ref="D18:D19"/>
    <mergeCell ref="D14:D15"/>
    <mergeCell ref="D11:D12"/>
    <mergeCell ref="E11:E12"/>
    <mergeCell ref="E14:E15"/>
    <mergeCell ref="E18:E19"/>
    <mergeCell ref="D16:D17"/>
    <mergeCell ref="E16:E17"/>
    <mergeCell ref="F18:F19"/>
    <mergeCell ref="F14:F15"/>
    <mergeCell ref="F11:F12"/>
    <mergeCell ref="F2:F3"/>
    <mergeCell ref="F16:F17"/>
    <mergeCell ref="F7:F8"/>
  </mergeCells>
  <phoneticPr fontId="0" type="noConversion"/>
  <conditionalFormatting sqref="D18:D19">
    <cfRule type="cellIs" dxfId="0" priority="1" stopIfTrue="1" operator="greaterThan">
      <formula>2951</formula>
    </cfRule>
  </conditionalFormatting>
  <printOptions horizontalCentered="1"/>
  <pageMargins left="0.75" right="0.75" top="1" bottom="1" header="0.5" footer="0.5"/>
  <pageSetup scale="83" orientation="landscape" blackAndWhite="1" horizontalDpi="300" verticalDpi="300" r:id="rId1"/>
  <headerFooter alignWithMargins="0">
    <oddHeader>&amp;C&amp;20&amp;A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K31"/>
  <sheetViews>
    <sheetView showGridLines="0" showRowColHeaders="0" workbookViewId="0">
      <selection activeCell="E2" sqref="E2:E3"/>
    </sheetView>
  </sheetViews>
  <sheetFormatPr defaultRowHeight="13.2" x14ac:dyDescent="0.25"/>
  <cols>
    <col min="1" max="1" width="0.88671875" customWidth="1"/>
    <col min="2" max="2" width="12.6640625" customWidth="1"/>
    <col min="3" max="3" width="9.6640625" customWidth="1"/>
    <col min="4" max="4" width="9.109375" style="2" customWidth="1"/>
    <col min="5" max="5" width="7.5546875" style="1" customWidth="1"/>
    <col min="6" max="6" width="11.44140625" style="2" customWidth="1"/>
  </cols>
  <sheetData>
    <row r="1" spans="1:11" s="3" customFormat="1" ht="26.25" customHeight="1" x14ac:dyDescent="0.25">
      <c r="B1" s="94">
        <v>39522</v>
      </c>
      <c r="C1" s="95"/>
      <c r="D1" s="5" t="s">
        <v>0</v>
      </c>
      <c r="E1" s="6" t="s">
        <v>1</v>
      </c>
      <c r="F1" s="5" t="s">
        <v>12</v>
      </c>
      <c r="G1" s="4"/>
      <c r="H1" s="4"/>
      <c r="I1" s="4"/>
      <c r="J1" s="4"/>
      <c r="K1" s="4"/>
    </row>
    <row r="2" spans="1:11" s="3" customFormat="1" ht="12.9" customHeight="1" x14ac:dyDescent="0.25">
      <c r="A2" s="12"/>
      <c r="B2" s="21" t="s">
        <v>2</v>
      </c>
      <c r="C2" s="30"/>
      <c r="D2" s="125">
        <v>3038.4</v>
      </c>
      <c r="E2" s="114">
        <v>85.95</v>
      </c>
      <c r="F2" s="96">
        <v>259.77999999999997</v>
      </c>
      <c r="G2" s="4"/>
      <c r="H2" s="4"/>
      <c r="I2" s="4"/>
      <c r="J2" s="4"/>
      <c r="K2" s="4"/>
    </row>
    <row r="3" spans="1:11" ht="12.9" customHeight="1" x14ac:dyDescent="0.25">
      <c r="A3" s="13"/>
      <c r="B3" s="31" t="s">
        <v>3</v>
      </c>
      <c r="C3" s="32"/>
      <c r="D3" s="126"/>
      <c r="E3" s="115"/>
      <c r="F3" s="97"/>
      <c r="G3" s="9"/>
      <c r="H3" s="9"/>
      <c r="I3" s="9"/>
      <c r="J3" s="9"/>
      <c r="K3" s="9"/>
    </row>
    <row r="4" spans="1:11" ht="26.1" customHeight="1" x14ac:dyDescent="0.25">
      <c r="A4" s="13"/>
      <c r="B4" s="171" t="s">
        <v>30</v>
      </c>
      <c r="C4" s="172"/>
      <c r="D4" s="76">
        <v>450</v>
      </c>
      <c r="E4" s="25">
        <v>85.5</v>
      </c>
      <c r="F4" s="55">
        <f>(D4*E4)/1000</f>
        <v>38.475000000000001</v>
      </c>
      <c r="G4" s="9"/>
      <c r="H4" s="9"/>
      <c r="I4" s="9"/>
      <c r="J4" s="9"/>
      <c r="K4" s="9"/>
    </row>
    <row r="5" spans="1:11" ht="26.1" customHeight="1" x14ac:dyDescent="0.25">
      <c r="A5" s="13"/>
      <c r="B5" s="173" t="s">
        <v>31</v>
      </c>
      <c r="C5" s="174"/>
      <c r="D5" s="76">
        <v>35</v>
      </c>
      <c r="E5" s="25">
        <v>119.1</v>
      </c>
      <c r="F5" s="55">
        <f>(D5*E5)/1000</f>
        <v>4.1684999999999999</v>
      </c>
      <c r="G5" s="9"/>
      <c r="H5" s="9"/>
      <c r="I5" s="9"/>
      <c r="J5" s="9"/>
      <c r="K5" s="9"/>
    </row>
    <row r="6" spans="1:11" ht="12.9" customHeight="1" x14ac:dyDescent="0.25">
      <c r="A6" s="102"/>
      <c r="B6" s="167" t="s">
        <v>34</v>
      </c>
      <c r="C6" s="168"/>
      <c r="D6" s="181">
        <v>0</v>
      </c>
      <c r="E6" s="106">
        <v>157.6</v>
      </c>
      <c r="F6" s="96">
        <f>(D6*E6)/1000</f>
        <v>0</v>
      </c>
      <c r="G6" s="9"/>
      <c r="H6" s="9"/>
      <c r="I6" s="9"/>
      <c r="J6" s="9"/>
      <c r="K6" s="9"/>
    </row>
    <row r="7" spans="1:11" ht="12.9" customHeight="1" x14ac:dyDescent="0.25">
      <c r="A7" s="175"/>
      <c r="B7" s="169"/>
      <c r="C7" s="170"/>
      <c r="D7" s="182"/>
      <c r="E7" s="136"/>
      <c r="F7" s="97"/>
      <c r="G7" s="9"/>
      <c r="H7" s="9"/>
      <c r="I7" s="9"/>
      <c r="J7" s="9"/>
      <c r="K7" s="9"/>
    </row>
    <row r="8" spans="1:11" ht="12.9" customHeight="1" x14ac:dyDescent="0.25">
      <c r="A8" s="102"/>
      <c r="B8" s="167" t="s">
        <v>35</v>
      </c>
      <c r="C8" s="168"/>
      <c r="D8" s="179">
        <v>0</v>
      </c>
      <c r="E8" s="106">
        <v>22.5</v>
      </c>
      <c r="F8" s="96">
        <f>(D8*E8)/1000</f>
        <v>0</v>
      </c>
      <c r="G8" s="9"/>
      <c r="H8" s="9"/>
      <c r="I8" s="9"/>
      <c r="J8" s="9"/>
      <c r="K8" s="9"/>
    </row>
    <row r="9" spans="1:11" ht="12.9" customHeight="1" x14ac:dyDescent="0.25">
      <c r="A9" s="103"/>
      <c r="B9" s="169"/>
      <c r="C9" s="170"/>
      <c r="D9" s="180"/>
      <c r="E9" s="136"/>
      <c r="F9" s="97"/>
      <c r="G9" s="9"/>
      <c r="H9" s="9"/>
      <c r="I9" s="9"/>
      <c r="J9" s="9"/>
      <c r="K9" s="9"/>
    </row>
    <row r="10" spans="1:11" ht="12.9" customHeight="1" x14ac:dyDescent="0.25">
      <c r="A10" s="102"/>
      <c r="B10" s="176" t="s">
        <v>59</v>
      </c>
      <c r="C10" s="168"/>
      <c r="D10" s="177">
        <v>150</v>
      </c>
      <c r="E10" s="106">
        <v>178.7</v>
      </c>
      <c r="F10" s="96">
        <f>(D10*E10)/1000</f>
        <v>26.805</v>
      </c>
      <c r="G10" s="9"/>
      <c r="H10" s="9"/>
      <c r="I10" s="9"/>
      <c r="J10" s="9"/>
      <c r="K10" s="9"/>
    </row>
    <row r="11" spans="1:11" ht="12.9" customHeight="1" x14ac:dyDescent="0.25">
      <c r="A11" s="103"/>
      <c r="B11" s="169"/>
      <c r="C11" s="170"/>
      <c r="D11" s="178"/>
      <c r="E11" s="136"/>
      <c r="F11" s="97"/>
      <c r="G11" s="9"/>
      <c r="H11" s="9"/>
      <c r="I11" s="9"/>
      <c r="J11" s="9"/>
      <c r="K11" s="9"/>
    </row>
    <row r="12" spans="1:11" ht="26.4" x14ac:dyDescent="0.25">
      <c r="A12" s="11"/>
      <c r="B12" s="56" t="s">
        <v>58</v>
      </c>
      <c r="C12" s="77"/>
      <c r="D12" s="78">
        <f>SUM(D2:D10)</f>
        <v>3673.4</v>
      </c>
      <c r="E12" s="26"/>
      <c r="F12" s="54">
        <f>SUM(F2:F10)</f>
        <v>329.2285</v>
      </c>
      <c r="G12" s="9"/>
      <c r="H12" s="9"/>
      <c r="I12" s="9"/>
      <c r="J12" s="9"/>
      <c r="K12" s="9"/>
    </row>
    <row r="13" spans="1:11" x14ac:dyDescent="0.25">
      <c r="A13" s="102"/>
      <c r="B13" s="167" t="s">
        <v>37</v>
      </c>
      <c r="C13" s="185">
        <v>100</v>
      </c>
      <c r="D13" s="125">
        <f>C13*6</f>
        <v>600</v>
      </c>
      <c r="E13" s="106">
        <v>93.6</v>
      </c>
      <c r="F13" s="96">
        <f>(D13*E13)/1000</f>
        <v>56.16</v>
      </c>
      <c r="G13" s="14"/>
      <c r="H13" s="9"/>
      <c r="I13" s="9"/>
      <c r="J13" s="9"/>
      <c r="K13" s="9"/>
    </row>
    <row r="14" spans="1:11" x14ac:dyDescent="0.25">
      <c r="A14" s="103"/>
      <c r="B14" s="169"/>
      <c r="C14" s="185"/>
      <c r="D14" s="126"/>
      <c r="E14" s="136"/>
      <c r="F14" s="97"/>
      <c r="G14" s="9"/>
      <c r="H14" s="9"/>
      <c r="I14" s="9"/>
      <c r="J14" s="9"/>
      <c r="K14" s="9"/>
    </row>
    <row r="15" spans="1:11" x14ac:dyDescent="0.25">
      <c r="A15" s="11"/>
      <c r="B15" s="21" t="s">
        <v>5</v>
      </c>
      <c r="C15" s="33"/>
      <c r="D15" s="161">
        <f>SUM(D2:D10)+D13</f>
        <v>4273.3999999999996</v>
      </c>
      <c r="E15" s="114">
        <f>(F15/D15)*1000</f>
        <v>90.183109467871034</v>
      </c>
      <c r="F15" s="96">
        <f>SUM(F12:F13)</f>
        <v>385.38850000000002</v>
      </c>
    </row>
    <row r="16" spans="1:11" x14ac:dyDescent="0.25">
      <c r="A16" s="13"/>
      <c r="B16" s="34" t="s">
        <v>39</v>
      </c>
      <c r="C16" s="35"/>
      <c r="D16" s="162"/>
      <c r="E16" s="115"/>
      <c r="F16" s="97"/>
    </row>
    <row r="17" spans="1:10" x14ac:dyDescent="0.25">
      <c r="A17" s="102"/>
      <c r="B17" s="140" t="s">
        <v>6</v>
      </c>
      <c r="C17" s="183">
        <v>2</v>
      </c>
      <c r="D17" s="125">
        <f>-C17*6</f>
        <v>-12</v>
      </c>
      <c r="E17" s="106">
        <v>93.6</v>
      </c>
      <c r="F17" s="96">
        <f>(D17*E17)/1000</f>
        <v>-1.1231999999999998</v>
      </c>
    </row>
    <row r="18" spans="1:10" x14ac:dyDescent="0.25">
      <c r="A18" s="103"/>
      <c r="B18" s="141"/>
      <c r="C18" s="184"/>
      <c r="D18" s="126"/>
      <c r="E18" s="136"/>
      <c r="F18" s="97"/>
    </row>
    <row r="19" spans="1:10" x14ac:dyDescent="0.25">
      <c r="A19" s="102"/>
      <c r="B19" s="21" t="s">
        <v>7</v>
      </c>
      <c r="C19" s="33"/>
      <c r="D19" s="159">
        <f>D15+D17</f>
        <v>4261.3999999999996</v>
      </c>
      <c r="E19" s="114">
        <f>(F19/D19)*1000</f>
        <v>90.173487586239276</v>
      </c>
      <c r="F19" s="96">
        <f>F15+F17</f>
        <v>384.26530000000002</v>
      </c>
    </row>
    <row r="20" spans="1:10" x14ac:dyDescent="0.25">
      <c r="A20" s="103"/>
      <c r="B20" s="34" t="s">
        <v>36</v>
      </c>
      <c r="C20" s="35"/>
      <c r="D20" s="160"/>
      <c r="E20" s="115"/>
      <c r="F20" s="97"/>
    </row>
    <row r="21" spans="1:10" x14ac:dyDescent="0.25">
      <c r="A21" s="57"/>
      <c r="B21" s="140" t="s">
        <v>32</v>
      </c>
      <c r="C21" s="163">
        <v>70</v>
      </c>
      <c r="D21" s="58"/>
      <c r="E21" s="59"/>
      <c r="F21" s="60"/>
    </row>
    <row r="22" spans="1:10" x14ac:dyDescent="0.25">
      <c r="A22" s="57"/>
      <c r="B22" s="141"/>
      <c r="C22" s="164"/>
      <c r="D22" s="58">
        <f>C21*6</f>
        <v>420</v>
      </c>
      <c r="E22" s="59">
        <v>93.6</v>
      </c>
      <c r="F22" s="60">
        <f>(D22*E22)/1000</f>
        <v>39.311999999999998</v>
      </c>
    </row>
    <row r="23" spans="1:10" x14ac:dyDescent="0.25">
      <c r="B23" s="21" t="s">
        <v>9</v>
      </c>
      <c r="C23" s="36"/>
      <c r="D23" s="165">
        <f>SUM(D2:D10)+D22</f>
        <v>4093.4</v>
      </c>
      <c r="E23" s="114">
        <f>(F23/D23)*1000</f>
        <v>90.032857771046068</v>
      </c>
      <c r="F23" s="96">
        <f>SUM(F2:F10)+F22</f>
        <v>368.54050000000001</v>
      </c>
    </row>
    <row r="24" spans="1:10" x14ac:dyDescent="0.25">
      <c r="A24" s="24"/>
      <c r="B24" s="34" t="s">
        <v>38</v>
      </c>
      <c r="C24" s="32"/>
      <c r="D24" s="166"/>
      <c r="E24" s="115"/>
      <c r="F24" s="97"/>
    </row>
    <row r="25" spans="1:10" x14ac:dyDescent="0.25">
      <c r="B25" s="9"/>
      <c r="C25" s="9"/>
      <c r="D25" s="61"/>
      <c r="E25" s="62"/>
      <c r="F25" s="62"/>
    </row>
    <row r="26" spans="1:10" x14ac:dyDescent="0.25">
      <c r="B26" s="7"/>
      <c r="C26" s="8"/>
      <c r="D26" s="9"/>
      <c r="E26" s="9"/>
      <c r="F26" s="7"/>
    </row>
    <row r="27" spans="1:10" x14ac:dyDescent="0.25">
      <c r="B27" s="70" t="s">
        <v>52</v>
      </c>
      <c r="C27" s="71"/>
      <c r="D27" s="71"/>
      <c r="E27" s="71"/>
      <c r="F27" s="72"/>
      <c r="G27" s="70"/>
      <c r="H27" s="70"/>
      <c r="I27" s="70"/>
      <c r="J27" s="70"/>
    </row>
    <row r="28" spans="1:10" x14ac:dyDescent="0.25">
      <c r="B28" s="73" t="s">
        <v>51</v>
      </c>
      <c r="C28" s="71"/>
      <c r="D28" s="71"/>
      <c r="E28" s="72"/>
      <c r="F28" s="72"/>
      <c r="G28" s="70"/>
      <c r="H28" s="70"/>
      <c r="I28" s="70"/>
      <c r="J28" s="70"/>
    </row>
    <row r="29" spans="1:10" x14ac:dyDescent="0.25">
      <c r="B29" s="7"/>
      <c r="C29" s="9"/>
      <c r="D29" s="9"/>
      <c r="E29" s="8"/>
      <c r="F29" s="8"/>
    </row>
    <row r="30" spans="1:10" x14ac:dyDescent="0.25">
      <c r="B30" s="7"/>
      <c r="C30" s="9"/>
      <c r="D30" s="8"/>
      <c r="E30" s="9"/>
      <c r="F30" s="8"/>
    </row>
    <row r="31" spans="1:10" x14ac:dyDescent="0.25">
      <c r="B31" s="9"/>
      <c r="C31" s="9"/>
      <c r="D31" s="8"/>
      <c r="E31" s="7"/>
      <c r="F31" s="8"/>
    </row>
  </sheetData>
  <mergeCells count="45">
    <mergeCell ref="A13:A14"/>
    <mergeCell ref="A17:A18"/>
    <mergeCell ref="A19:A20"/>
    <mergeCell ref="E13:E14"/>
    <mergeCell ref="B17:B18"/>
    <mergeCell ref="C17:C18"/>
    <mergeCell ref="D17:D18"/>
    <mergeCell ref="D13:D14"/>
    <mergeCell ref="C13:C14"/>
    <mergeCell ref="E15:E16"/>
    <mergeCell ref="B13:B14"/>
    <mergeCell ref="A6:A7"/>
    <mergeCell ref="B10:C11"/>
    <mergeCell ref="D10:D11"/>
    <mergeCell ref="A10:A11"/>
    <mergeCell ref="A8:A9"/>
    <mergeCell ref="D8:D9"/>
    <mergeCell ref="B6:C7"/>
    <mergeCell ref="D6:D7"/>
    <mergeCell ref="F8:F9"/>
    <mergeCell ref="B1:C1"/>
    <mergeCell ref="B8:C9"/>
    <mergeCell ref="B4:C4"/>
    <mergeCell ref="B5:C5"/>
    <mergeCell ref="E2:E3"/>
    <mergeCell ref="F2:F3"/>
    <mergeCell ref="E6:E7"/>
    <mergeCell ref="E8:E9"/>
    <mergeCell ref="F6:F7"/>
    <mergeCell ref="D2:D3"/>
    <mergeCell ref="D23:D24"/>
    <mergeCell ref="E23:E24"/>
    <mergeCell ref="F23:F24"/>
    <mergeCell ref="F19:F20"/>
    <mergeCell ref="E19:E20"/>
    <mergeCell ref="E10:E11"/>
    <mergeCell ref="F10:F11"/>
    <mergeCell ref="D19:D20"/>
    <mergeCell ref="D15:D16"/>
    <mergeCell ref="B21:B22"/>
    <mergeCell ref="C21:C22"/>
    <mergeCell ref="F13:F14"/>
    <mergeCell ref="F15:F16"/>
    <mergeCell ref="E17:E18"/>
    <mergeCell ref="F17:F18"/>
  </mergeCells>
  <phoneticPr fontId="0" type="noConversion"/>
  <printOptions horizontalCentered="1"/>
  <pageMargins left="0.75" right="0.75" top="1" bottom="1" header="0.5" footer="0.5"/>
  <pageSetup scale="65" orientation="landscape" blackAndWhite="1" horizontalDpi="300" verticalDpi="300" r:id="rId1"/>
  <headerFooter alignWithMargins="0">
    <oddHeader>&amp;C&amp;20&amp;A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L12"/>
  <sheetViews>
    <sheetView view="pageBreakPreview" zoomScaleNormal="100" zoomScaleSheetLayoutView="100" workbookViewId="0">
      <selection activeCell="G1" sqref="G1:H9"/>
    </sheetView>
  </sheetViews>
  <sheetFormatPr defaultRowHeight="13.2" x14ac:dyDescent="0.25"/>
  <cols>
    <col min="1" max="1" width="8.88671875" customWidth="1"/>
    <col min="2" max="2" width="6" customWidth="1"/>
    <col min="5" max="6" width="6.6640625" customWidth="1"/>
  </cols>
  <sheetData>
    <row r="1" spans="1:12" x14ac:dyDescent="0.25">
      <c r="A1" s="189" t="s">
        <v>62</v>
      </c>
      <c r="B1" s="190"/>
      <c r="C1" s="191" t="s">
        <v>57</v>
      </c>
      <c r="D1" s="192"/>
      <c r="E1" s="193" t="s">
        <v>61</v>
      </c>
      <c r="F1" s="194"/>
      <c r="G1" s="234" t="s">
        <v>77</v>
      </c>
      <c r="H1" s="234"/>
      <c r="I1" s="186" t="s">
        <v>43</v>
      </c>
      <c r="J1" s="187"/>
      <c r="K1" s="188" t="s">
        <v>33</v>
      </c>
      <c r="L1" s="188"/>
    </row>
    <row r="2" spans="1:12" x14ac:dyDescent="0.25">
      <c r="A2" s="190" t="s">
        <v>11</v>
      </c>
      <c r="B2" s="190"/>
      <c r="C2" s="192" t="s">
        <v>11</v>
      </c>
      <c r="D2" s="192"/>
      <c r="E2" s="85" t="s">
        <v>11</v>
      </c>
      <c r="F2" s="86"/>
      <c r="G2" s="235" t="s">
        <v>78</v>
      </c>
      <c r="H2" s="235"/>
      <c r="I2" s="186" t="s">
        <v>11</v>
      </c>
      <c r="J2" s="187"/>
      <c r="K2" s="188" t="s">
        <v>11</v>
      </c>
      <c r="L2" s="188"/>
    </row>
    <row r="3" spans="1:12" x14ac:dyDescent="0.25">
      <c r="A3" s="83">
        <v>52.5</v>
      </c>
      <c r="B3" s="84">
        <v>1500</v>
      </c>
      <c r="C3" s="41">
        <v>52.5</v>
      </c>
      <c r="D3" s="42">
        <v>1500</v>
      </c>
      <c r="E3" s="87">
        <v>36</v>
      </c>
      <c r="F3" s="88">
        <v>1600</v>
      </c>
      <c r="G3" s="1">
        <v>36.4</v>
      </c>
      <c r="H3">
        <v>1700</v>
      </c>
      <c r="I3" s="90">
        <v>59.5</v>
      </c>
      <c r="J3" s="90">
        <v>1800</v>
      </c>
      <c r="K3" s="91">
        <v>82</v>
      </c>
      <c r="L3" s="91">
        <v>2200</v>
      </c>
    </row>
    <row r="4" spans="1:12" x14ac:dyDescent="0.25">
      <c r="A4" s="83">
        <v>68</v>
      </c>
      <c r="B4" s="84">
        <v>1950</v>
      </c>
      <c r="C4" s="41">
        <v>68</v>
      </c>
      <c r="D4" s="42">
        <v>1950</v>
      </c>
      <c r="E4" s="87">
        <v>36</v>
      </c>
      <c r="F4" s="88">
        <v>1955</v>
      </c>
      <c r="G4" s="1">
        <v>36.4</v>
      </c>
      <c r="H4">
        <v>1825</v>
      </c>
      <c r="I4" s="90">
        <v>74.2</v>
      </c>
      <c r="J4" s="90">
        <v>2260</v>
      </c>
      <c r="K4" s="91">
        <v>82</v>
      </c>
      <c r="L4" s="91">
        <v>3400</v>
      </c>
    </row>
    <row r="5" spans="1:12" x14ac:dyDescent="0.25">
      <c r="A5" s="83">
        <v>104</v>
      </c>
      <c r="B5" s="84">
        <v>2550</v>
      </c>
      <c r="C5" s="41">
        <v>104</v>
      </c>
      <c r="D5" s="42">
        <v>2550</v>
      </c>
      <c r="E5" s="87">
        <v>39.5</v>
      </c>
      <c r="F5" s="88">
        <v>2650</v>
      </c>
      <c r="G5" s="1">
        <v>40.1</v>
      </c>
      <c r="H5">
        <v>2312</v>
      </c>
      <c r="I5" s="90">
        <v>126.8</v>
      </c>
      <c r="J5" s="90">
        <v>3100</v>
      </c>
      <c r="K5" s="91">
        <v>90.6</v>
      </c>
      <c r="L5" s="91">
        <v>4570</v>
      </c>
    </row>
    <row r="6" spans="1:12" x14ac:dyDescent="0.25">
      <c r="A6" s="83">
        <v>121</v>
      </c>
      <c r="B6" s="84">
        <v>2550</v>
      </c>
      <c r="C6" s="41">
        <v>121</v>
      </c>
      <c r="D6" s="42">
        <v>2550</v>
      </c>
      <c r="E6" s="87">
        <v>46.5</v>
      </c>
      <c r="F6" s="88">
        <v>2650</v>
      </c>
      <c r="G6" s="1">
        <v>41.4</v>
      </c>
      <c r="H6">
        <v>2487</v>
      </c>
      <c r="I6" s="90">
        <v>142.5</v>
      </c>
      <c r="J6" s="90">
        <v>3100</v>
      </c>
      <c r="K6" s="91">
        <v>94</v>
      </c>
      <c r="L6" s="91">
        <v>4570</v>
      </c>
    </row>
    <row r="7" spans="1:12" x14ac:dyDescent="0.25">
      <c r="A7" s="83">
        <v>70.5</v>
      </c>
      <c r="B7" s="84">
        <v>1500</v>
      </c>
      <c r="C7" s="41">
        <v>70.5</v>
      </c>
      <c r="D7" s="42">
        <v>1500</v>
      </c>
      <c r="E7" s="87">
        <v>46.5</v>
      </c>
      <c r="F7" s="88">
        <v>1600</v>
      </c>
      <c r="G7" s="1">
        <v>43.95</v>
      </c>
      <c r="H7">
        <v>2487</v>
      </c>
      <c r="I7" s="90">
        <v>83</v>
      </c>
      <c r="J7" s="90">
        <v>1800</v>
      </c>
      <c r="K7" s="91">
        <v>94</v>
      </c>
      <c r="L7" s="91">
        <v>2200</v>
      </c>
    </row>
    <row r="8" spans="1:12" x14ac:dyDescent="0.25">
      <c r="A8" s="83">
        <v>60.5</v>
      </c>
      <c r="B8" s="84">
        <v>1500</v>
      </c>
      <c r="C8" s="42">
        <v>61</v>
      </c>
      <c r="D8" s="42">
        <v>1500</v>
      </c>
      <c r="E8" s="89"/>
      <c r="F8" s="89"/>
      <c r="G8" s="1">
        <v>45.5</v>
      </c>
      <c r="H8">
        <v>2312</v>
      </c>
      <c r="I8" s="90">
        <v>135.80000000000001</v>
      </c>
      <c r="J8" s="90">
        <v>2950</v>
      </c>
      <c r="K8" s="91">
        <v>94</v>
      </c>
      <c r="L8" s="91">
        <v>4000</v>
      </c>
    </row>
    <row r="9" spans="1:12" x14ac:dyDescent="0.25">
      <c r="A9" s="83">
        <v>86</v>
      </c>
      <c r="B9" s="84">
        <v>2100</v>
      </c>
      <c r="C9" s="42">
        <v>89</v>
      </c>
      <c r="D9" s="42">
        <v>2200</v>
      </c>
      <c r="G9" s="1">
        <v>45.5</v>
      </c>
      <c r="H9">
        <v>1700</v>
      </c>
      <c r="I9" s="90">
        <v>117.5</v>
      </c>
      <c r="J9" s="90">
        <v>2950</v>
      </c>
      <c r="K9" s="91">
        <v>86.5</v>
      </c>
      <c r="L9" s="91">
        <v>4000</v>
      </c>
    </row>
    <row r="10" spans="1:12" x14ac:dyDescent="0.25">
      <c r="A10" s="83">
        <v>77.5</v>
      </c>
      <c r="B10" s="84">
        <v>2100</v>
      </c>
      <c r="C10" s="42">
        <v>83</v>
      </c>
      <c r="D10" s="42">
        <v>2200</v>
      </c>
      <c r="G10" s="79"/>
      <c r="H10" s="80"/>
      <c r="I10" s="66"/>
      <c r="J10" s="66"/>
      <c r="K10" s="91">
        <v>89</v>
      </c>
      <c r="L10" s="91">
        <v>4342</v>
      </c>
    </row>
    <row r="11" spans="1:12" x14ac:dyDescent="0.25">
      <c r="I11" s="66"/>
      <c r="J11" s="66"/>
      <c r="K11" s="91">
        <v>94</v>
      </c>
      <c r="L11" s="91">
        <v>4342</v>
      </c>
    </row>
    <row r="12" spans="1:12" x14ac:dyDescent="0.25">
      <c r="I12" s="66"/>
      <c r="J12" s="66"/>
      <c r="K12" t="s">
        <v>55</v>
      </c>
      <c r="L12" t="s">
        <v>55</v>
      </c>
    </row>
  </sheetData>
  <mergeCells count="11">
    <mergeCell ref="I1:J1"/>
    <mergeCell ref="I2:J2"/>
    <mergeCell ref="K1:L1"/>
    <mergeCell ref="K2:L2"/>
    <mergeCell ref="A1:B1"/>
    <mergeCell ref="A2:B2"/>
    <mergeCell ref="G1:H1"/>
    <mergeCell ref="G2:H2"/>
    <mergeCell ref="C1:D1"/>
    <mergeCell ref="C2:D2"/>
    <mergeCell ref="E1:F1"/>
  </mergeCells>
  <phoneticPr fontId="0" type="noConversion"/>
  <printOptions horizontalCentered="1" gridLines="1" gridLinesSet="0"/>
  <pageMargins left="0.75" right="0.75" top="1" bottom="1" header="0.5" footer="0.5"/>
  <pageSetup scale="94" orientation="landscape" blackAndWhite="1" horizontalDpi="300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35408</vt:lpstr>
      <vt:lpstr>453SP</vt:lpstr>
      <vt:lpstr>722SA</vt:lpstr>
      <vt:lpstr>98637</vt:lpstr>
      <vt:lpstr>9390B</vt:lpstr>
      <vt:lpstr>9209H</vt:lpstr>
      <vt:lpstr>39522</vt:lpstr>
      <vt:lpstr>Specs</vt:lpstr>
      <vt:lpstr>Specs!Print_Area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JHF</dc:creator>
  <cp:lastModifiedBy>BROWN, MARCUS B NF-04 USAF PACAF 673 FSS/FSWA</cp:lastModifiedBy>
  <cp:lastPrinted>2022-04-12T17:57:50Z</cp:lastPrinted>
  <dcterms:created xsi:type="dcterms:W3CDTF">1999-06-05T16:23:10Z</dcterms:created>
  <dcterms:modified xsi:type="dcterms:W3CDTF">2023-07-25T23:31:25Z</dcterms:modified>
</cp:coreProperties>
</file>